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workbookProtection workbookPassword="EB34" lockStructure="1"/>
  <bookViews>
    <workbookView xWindow="105" yWindow="0" windowWidth="20730" windowHeight="11760"/>
  </bookViews>
  <sheets>
    <sheet name="Общая информация" sheetId="21" r:id="rId1"/>
    <sheet name="Ед. поставщик п.4 ч.1" sheetId="27" r:id="rId2"/>
    <sheet name="Ед. поставщик п.5 ч.1" sheetId="31" r:id="rId3"/>
    <sheet name="Ед.поставщик за искл. п.4,5 ч.1" sheetId="19" r:id="rId4"/>
    <sheet name="Состоявшиеся аукционы" sheetId="17" r:id="rId5"/>
    <sheet name="Несостоявшиеся аукционы" sheetId="22" r:id="rId6"/>
    <sheet name="Иные конкурентные закупки" sheetId="20" r:id="rId7"/>
    <sheet name="Настройки" sheetId="32" state="hidden" r:id="rId8"/>
  </sheets>
  <definedNames>
    <definedName name="_xlnm._FilterDatabase" localSheetId="1" hidden="1">'Ед. поставщик п.4 ч.1'!$A$6:$U$8</definedName>
  </definedNames>
  <calcPr calcId="144525"/>
</workbook>
</file>

<file path=xl/calcChain.xml><?xml version="1.0" encoding="utf-8"?>
<calcChain xmlns="http://schemas.openxmlformats.org/spreadsheetml/2006/main">
  <c r="G2" i="20" l="1"/>
  <c r="Q2" i="20"/>
  <c r="V2" i="20"/>
  <c r="AB2" i="20"/>
  <c r="G2" i="22"/>
  <c r="Q2" i="22"/>
  <c r="V2" i="22"/>
  <c r="AB2" i="22"/>
  <c r="G2" i="17"/>
  <c r="Q2" i="17"/>
  <c r="V2" i="17"/>
  <c r="AB2" i="17"/>
  <c r="G2" i="19"/>
  <c r="N2" i="19"/>
  <c r="T2" i="19"/>
  <c r="H2" i="31"/>
  <c r="P2" i="31"/>
  <c r="V2" i="31"/>
  <c r="H2" i="27"/>
  <c r="P2" i="27"/>
  <c r="V2" i="27"/>
  <c r="I91" i="27"/>
  <c r="I73" i="27"/>
  <c r="I10" i="27"/>
  <c r="I31" i="31"/>
  <c r="I70" i="31"/>
  <c r="H18" i="20"/>
  <c r="R18" i="20"/>
  <c r="I37" i="31"/>
  <c r="I64" i="31"/>
  <c r="I22" i="27"/>
  <c r="I16" i="27"/>
  <c r="I43" i="31"/>
  <c r="I72" i="31"/>
  <c r="I28" i="27"/>
  <c r="I34" i="27"/>
  <c r="I154" i="31"/>
  <c r="I153" i="31"/>
  <c r="I96" i="27"/>
  <c r="I95" i="27"/>
  <c r="I94" i="27"/>
  <c r="I93" i="27"/>
  <c r="I152" i="31"/>
  <c r="I151" i="31"/>
  <c r="I147" i="31"/>
  <c r="I84" i="31"/>
  <c r="I113" i="31"/>
  <c r="I47" i="27"/>
  <c r="I85" i="27"/>
  <c r="I150" i="31"/>
  <c r="I90" i="27"/>
  <c r="I149" i="31"/>
  <c r="H14" i="19"/>
  <c r="I89" i="27"/>
  <c r="I88" i="27"/>
  <c r="I68" i="27"/>
  <c r="I37" i="27"/>
  <c r="I62" i="27"/>
  <c r="I57" i="27"/>
  <c r="I42" i="27"/>
  <c r="I136" i="31"/>
  <c r="I126" i="31"/>
  <c r="H9" i="19"/>
  <c r="I87" i="27"/>
  <c r="I146" i="31"/>
  <c r="I145" i="31"/>
  <c r="I144" i="31"/>
  <c r="I143" i="31"/>
  <c r="I84" i="27"/>
  <c r="I83" i="27"/>
  <c r="I142" i="31"/>
  <c r="I141" i="31"/>
  <c r="I82" i="27"/>
  <c r="I81" i="27"/>
  <c r="I89" i="31"/>
  <c r="I76" i="27"/>
  <c r="I105" i="31"/>
  <c r="I80" i="27"/>
  <c r="I26" i="31"/>
  <c r="I79" i="27"/>
  <c r="I78" i="27"/>
  <c r="I125" i="31"/>
  <c r="I124" i="31" l="1"/>
  <c r="I123" i="31"/>
  <c r="I36" i="27"/>
  <c r="I9" i="31" l="1"/>
  <c r="H9" i="20"/>
  <c r="R9" i="20"/>
  <c r="I9" i="27" l="1"/>
  <c r="I23" i="31"/>
  <c r="D13" i="21" l="1"/>
  <c r="G13" i="21" s="1"/>
  <c r="R8" i="20" l="1"/>
  <c r="H8" i="20"/>
  <c r="R8" i="22"/>
  <c r="H8" i="22"/>
  <c r="I8" i="27" l="1"/>
  <c r="J9" i="21" l="1"/>
  <c r="J13" i="21"/>
  <c r="M5" i="21" l="1"/>
  <c r="J14" i="21"/>
  <c r="D14" i="21"/>
  <c r="G14" i="21" s="1"/>
  <c r="D12" i="21"/>
  <c r="J12" i="21"/>
  <c r="D19" i="21"/>
  <c r="G12" i="21" l="1"/>
  <c r="M13" i="21"/>
  <c r="M14" i="21"/>
  <c r="J11" i="21"/>
  <c r="J10" i="21"/>
  <c r="J15" i="21" l="1"/>
  <c r="D10" i="21"/>
  <c r="H5" i="21" l="1"/>
  <c r="R8" i="17"/>
  <c r="H8" i="17"/>
  <c r="D9" i="21" l="1"/>
  <c r="G10" i="21" l="1"/>
  <c r="G11" i="21" l="1"/>
  <c r="D11" i="21"/>
  <c r="D15" i="21" s="1"/>
  <c r="G9" i="21"/>
  <c r="G15" i="21" l="1"/>
  <c r="C5" i="21" s="1"/>
  <c r="M12" i="21"/>
  <c r="M11" i="21"/>
  <c r="M9" i="21"/>
  <c r="M10" i="21"/>
  <c r="M15" i="21" l="1"/>
</calcChain>
</file>

<file path=xl/sharedStrings.xml><?xml version="1.0" encoding="utf-8"?>
<sst xmlns="http://schemas.openxmlformats.org/spreadsheetml/2006/main" count="1418" uniqueCount="576">
  <si>
    <t>Дата заключения</t>
  </si>
  <si>
    <t>№ договора/контракта</t>
  </si>
  <si>
    <t>Дата заключения договора/контракта</t>
  </si>
  <si>
    <t>Предмет договора/контракта</t>
  </si>
  <si>
    <t>Цена договора/контракта</t>
  </si>
  <si>
    <t>Поставщик (подрядчик, исполнитель)</t>
  </si>
  <si>
    <t>Сроки оплаты согласно договора/контракта</t>
  </si>
  <si>
    <t>Фактическая дата поставки товара (оказания услуги, выполнения работы)</t>
  </si>
  <si>
    <t>№ п/п</t>
  </si>
  <si>
    <t>Фактическая дата оплаты</t>
  </si>
  <si>
    <t>Код бюджетной классификации</t>
  </si>
  <si>
    <t>№ извещения</t>
  </si>
  <si>
    <t>Объект закупки</t>
  </si>
  <si>
    <t>Н(М)ЦК</t>
  </si>
  <si>
    <t>СМП и СОНО</t>
  </si>
  <si>
    <t>№ контракта</t>
  </si>
  <si>
    <t>Количество поданных заявок</t>
  </si>
  <si>
    <t>Количество заявок признанные несоответствующими</t>
  </si>
  <si>
    <t>Цена контракта</t>
  </si>
  <si>
    <t>Сроки поставки товара (оказания услуги, выполнения работы), согласно контракта</t>
  </si>
  <si>
    <t>Сроки оплаты согласно контракта</t>
  </si>
  <si>
    <t xml:space="preserve">№ в реестре контрактов </t>
  </si>
  <si>
    <t>Остаток по контракту</t>
  </si>
  <si>
    <t>Сумма согласно документа об исполнении контракта заказчиком</t>
  </si>
  <si>
    <t>Сумма заключенных контрактов</t>
  </si>
  <si>
    <t>СГОЗ  (общий)</t>
  </si>
  <si>
    <t>СГОЗ (остаток)</t>
  </si>
  <si>
    <t>Способ определения поставщика (подрядчика, исполнителя)</t>
  </si>
  <si>
    <t>Начальная (максимальная) цена контракта</t>
  </si>
  <si>
    <t>Фактическая цена контракта</t>
  </si>
  <si>
    <t xml:space="preserve">Экономия </t>
  </si>
  <si>
    <t>Состоявшиеся аукционы</t>
  </si>
  <si>
    <t>№ в реестре контрактов</t>
  </si>
  <si>
    <t>ИКЗ (Идентификационный код закупки)</t>
  </si>
  <si>
    <t>Экономия</t>
  </si>
  <si>
    <t>Всего средств потрачено по заключенным контрактам</t>
  </si>
  <si>
    <t>1</t>
  </si>
  <si>
    <t>Фактическая дата поставки товара (оказания услуги, выполнения работы) и (или) предоставление документов на оплату и подписание документов о приемке</t>
  </si>
  <si>
    <t>Цена контракта (Объем финансового обеспечения подлежащий к оплате в текущем фин. году)</t>
  </si>
  <si>
    <t>Сроки поставки товара (оказания услуги, выполнения работы), согласно контракта; Предоставление документов на оплату Закзчику</t>
  </si>
  <si>
    <t>Изменение контракта (№, дата)</t>
  </si>
  <si>
    <t>Расторжение контракта (№, дата)</t>
  </si>
  <si>
    <t>Примечание</t>
  </si>
  <si>
    <t>Сумма расторжения</t>
  </si>
  <si>
    <t>Сроки поставки товара (оказания услуги, выполнения работы), согласно договора/контракта; Предоставление документов на оплату Заказчику</t>
  </si>
  <si>
    <t>Общая сумма расторжений по контрактам/договорам</t>
  </si>
  <si>
    <t xml:space="preserve">ИНН поставщика (подрядчика, исполнителя) </t>
  </si>
  <si>
    <t>Наименование муниципальной программы, национального или регионального проекта</t>
  </si>
  <si>
    <t>123</t>
  </si>
  <si>
    <t>Несостоявшиеся аукционы</t>
  </si>
  <si>
    <t xml:space="preserve">Ед. поставщик п.4 ч.1 </t>
  </si>
  <si>
    <t>Ед. поставщик п. 5 ч. 1</t>
  </si>
  <si>
    <t>Ед.поставщик за искл. п.4,5 ч.1</t>
  </si>
  <si>
    <t>п.4 (остаток)</t>
  </si>
  <si>
    <t>п.5 (остаток)</t>
  </si>
  <si>
    <t>п.5 (50% СГОЗ)</t>
  </si>
  <si>
    <t>Муниципальная программа "Развитие образования"</t>
  </si>
  <si>
    <t>№ 1</t>
  </si>
  <si>
    <t>902 0113 1310110490 244</t>
  </si>
  <si>
    <t>Поставка бумаги для офисной техники</t>
  </si>
  <si>
    <t>2353019514</t>
  </si>
  <si>
    <t>ИП Котляров К.И.</t>
  </si>
  <si>
    <t>В течение 15 рабочих дней, со дня подписания сторонами контракта</t>
  </si>
  <si>
    <t>Не позднее 30 календарных дней с момента подписания Заказчиком и Подрядчиком акта приема-сдачи и предоставленного Подрядчиком документа на оплату</t>
  </si>
  <si>
    <t>Пример</t>
  </si>
  <si>
    <t>Поставка электрической энергии</t>
  </si>
  <si>
    <t>9020104 5210000190244</t>
  </si>
  <si>
    <t>3235301125818100175</t>
  </si>
  <si>
    <t>АО "НЭСК"</t>
  </si>
  <si>
    <t>Поставка электрической энергии осуществляется постоянно, в течение срока действия контракта</t>
  </si>
  <si>
    <t>До 10 числа расчетного месяца в размере 30%, до 25 числа расчетного месяца 40%, до 18 числа месяца, следующего за расчетным</t>
  </si>
  <si>
    <t>0818300019919000194</t>
  </si>
  <si>
    <t xml:space="preserve">Поставка картриджа и тонер-картриджей </t>
  </si>
  <si>
    <t xml:space="preserve">193235301125823530100103000010000244 </t>
  </si>
  <si>
    <t>902 0113 1210310010 244</t>
  </si>
  <si>
    <t>Нет</t>
  </si>
  <si>
    <t>3235301125819000079</t>
  </si>
  <si>
    <t>Ф.2019.412162</t>
  </si>
  <si>
    <t xml:space="preserve"> ООО "АНАЛИТИК ЦЕНТР" </t>
  </si>
  <si>
    <t>3443923035</t>
  </si>
  <si>
    <t>В течение 20 рабочих дней со дня заключения сторонами муниципального контракта</t>
  </si>
  <si>
    <t>Не позднее 30 календарных дней с момента подписания Заказчиком документа о приемке выполненных работ и представленного Подрядчиком документа на оплату</t>
  </si>
  <si>
    <t>СМП и СОНО                       (да/нет)</t>
  </si>
  <si>
    <t>Иные конкурентные закупки</t>
  </si>
  <si>
    <t>TekStrokaP4</t>
  </si>
  <si>
    <t>TekNomerP4</t>
  </si>
  <si>
    <t>NachStrokaP4</t>
  </si>
  <si>
    <t>NachStrokaP5</t>
  </si>
  <si>
    <t>TekNomerP5</t>
  </si>
  <si>
    <t>TekStrokaP5</t>
  </si>
  <si>
    <t>TekStrokaSt93</t>
  </si>
  <si>
    <t>TekNomerSt93</t>
  </si>
  <si>
    <t>NachStrokaSt93</t>
  </si>
  <si>
    <t>TekStrokaSEA</t>
  </si>
  <si>
    <t>TekNomerSEA</t>
  </si>
  <si>
    <t>NachStrokaSEA</t>
  </si>
  <si>
    <t>TekStrokaNEA</t>
  </si>
  <si>
    <t>TekNomerNEA</t>
  </si>
  <si>
    <t>NachStrokaNEA</t>
  </si>
  <si>
    <t>TekStrokaIKZ</t>
  </si>
  <si>
    <t>TekNomerIKZ</t>
  </si>
  <si>
    <t>NachStrokaIKZ</t>
  </si>
  <si>
    <t xml:space="preserve">Ед. поставщик п.5 ч.1 </t>
  </si>
  <si>
    <t>Изменение контракта (увеличение цены контракта в рублях)</t>
  </si>
  <si>
    <t>Изменение контракта (уменьшение цены контракта в рублях)</t>
  </si>
  <si>
    <t>Сумма расторжения в рублях</t>
  </si>
  <si>
    <t>СМП и СОНО                       (Да/Нет)</t>
  </si>
  <si>
    <t>09.01.2020</t>
  </si>
  <si>
    <t>Index</t>
  </si>
  <si>
    <t>Index+1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</si>
  <si>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</si>
  <si>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</si>
  <si>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</si>
  <si>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</si>
  <si>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</si>
  <si>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</si>
  <si>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</si>
  <si>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</si>
  <si>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</si>
  <si>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</si>
  <si>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</si>
  <si>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</si>
  <si>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</si>
  <si>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</si>
  <si>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</si>
  <si>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</si>
  <si>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</si>
  <si>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</si>
  <si>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</si>
  <si>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</si>
  <si>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</si>
  <si>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</si>
  <si>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</si>
  <si>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</si>
  <si>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</si>
  <si>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</si>
  <si>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</si>
  <si>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Сумма средств выплаченных по контрактам</t>
  </si>
  <si>
    <t>29</t>
  </si>
  <si>
    <t>Сумма начальных (максимальных) цен контрактов</t>
  </si>
  <si>
    <t>п.4 (10% от СГОЗ или 2 000 000)</t>
  </si>
  <si>
    <t>Наименование организации:</t>
  </si>
  <si>
    <t>Расторжение контракта по соглашению сторон</t>
  </si>
  <si>
    <t>Всего</t>
  </si>
  <si>
    <t>Не позднее 30 календарных дней с момента подписания акта приема-сдачи и документа на оплату</t>
  </si>
  <si>
    <t>Контракт заключен в электронном виде посредством                             АИС "Портал поставщиков"   (Да/Нет)</t>
  </si>
  <si>
    <t>ПАО "ТНС энерго Кубань"</t>
  </si>
  <si>
    <t>в течение 30 календарных дней с момента предоставления документов на оплату</t>
  </si>
  <si>
    <t>ИП Калайчев Ш.С.</t>
  </si>
  <si>
    <t>АО "АТЭК"</t>
  </si>
  <si>
    <t>б/н</t>
  </si>
  <si>
    <t>ФГКУ "УВО ВНГ России по Краснодарскому краю"</t>
  </si>
  <si>
    <t>№ 47-С</t>
  </si>
  <si>
    <t>ООО "Сигнал"</t>
  </si>
  <si>
    <t>Союз "Тимашевская торгово-промышленная палата"</t>
  </si>
  <si>
    <t>до 31.12.2022</t>
  </si>
  <si>
    <t>услуги связи</t>
  </si>
  <si>
    <t>ПАО "Ростелеком"</t>
  </si>
  <si>
    <t>№ 177</t>
  </si>
  <si>
    <t>№ 14/22</t>
  </si>
  <si>
    <t>ООО "Дезинфекция"</t>
  </si>
  <si>
    <t xml:space="preserve">223235301532623530100100090018010244 </t>
  </si>
  <si>
    <t xml:space="preserve">0818300019922000032 </t>
  </si>
  <si>
    <t xml:space="preserve">Оказание охранных услуг </t>
  </si>
  <si>
    <t>12 апреля 2022г.</t>
  </si>
  <si>
    <t>11 мая 2022г.</t>
  </si>
  <si>
    <t>Тимашевская РО КРО ОО "ВОА"</t>
  </si>
  <si>
    <t>0818300019922000032</t>
  </si>
  <si>
    <t>4 апреля 2022г.</t>
  </si>
  <si>
    <t>ООО "Охранное предприятие "Телохранитель-Секьюрити"</t>
  </si>
  <si>
    <t>Не позднее 10 рабочих дней с момента подписания Заказчиком документа о приемке выполненных работ и представленного Подрядчиком документа на оплату</t>
  </si>
  <si>
    <t>с 05.04.2022г. по 31.12.2022г.</t>
  </si>
  <si>
    <t>30 мая 2022г.</t>
  </si>
  <si>
    <t>3 июня 2022г.</t>
  </si>
  <si>
    <t>10 июня 2022г.</t>
  </si>
  <si>
    <t>22 июня 2022г.</t>
  </si>
  <si>
    <t>08 июля 2022г.</t>
  </si>
  <si>
    <t>12 июля 2022г.</t>
  </si>
  <si>
    <t>6 июля 2022г.</t>
  </si>
  <si>
    <t>2 августа 2022г.</t>
  </si>
  <si>
    <t>4 августа 2022г.</t>
  </si>
  <si>
    <t>08 августа 2022г.</t>
  </si>
  <si>
    <t>7 сентября 2022г.</t>
  </si>
  <si>
    <t>5 сентября 2022г.</t>
  </si>
  <si>
    <t>Поставка нефтепродуктов</t>
  </si>
  <si>
    <t>12 сентября 2022г.</t>
  </si>
  <si>
    <t>14.10.2022г.</t>
  </si>
  <si>
    <t>3 октября 2022г.</t>
  </si>
  <si>
    <t>4 октября 2022г.</t>
  </si>
  <si>
    <t>18 октября 2022г.</t>
  </si>
  <si>
    <t>с 15.10.2022г. по 31.12.2022г.</t>
  </si>
  <si>
    <t>№ 1770</t>
  </si>
  <si>
    <t>Поставка тепловой энергии</t>
  </si>
  <si>
    <t>До 18 числа текущего месяца в размере 30% и до 25 числа следующего месяца за фактически потребленную теплоэнергию</t>
  </si>
  <si>
    <t>ИП Латышев Е.А.</t>
  </si>
  <si>
    <t>7 ноября 2022г.</t>
  </si>
  <si>
    <t>31 октября 2022г.</t>
  </si>
  <si>
    <t>09 ноября 2022г.</t>
  </si>
  <si>
    <t>16 ноября 2022г.</t>
  </si>
  <si>
    <t>13.декабря 2022г.</t>
  </si>
  <si>
    <t>20 декабря 2022г.</t>
  </si>
  <si>
    <t>2 декабря 2022г.</t>
  </si>
  <si>
    <t>30 ноября.2022г.</t>
  </si>
  <si>
    <t>21 декабря 2022г.</t>
  </si>
  <si>
    <t>12 декабря 2022г.</t>
  </si>
  <si>
    <t>223235301532623530100100180018010244</t>
  </si>
  <si>
    <t>08183000199220003360001</t>
  </si>
  <si>
    <t>ООО ЧОО "ЛЕГИОН"</t>
  </si>
  <si>
    <t>С 01.01.2023г. по 19.10.2023г.</t>
  </si>
  <si>
    <t>В течение не более, чем 7 рабочих дней с даты подписания заказчиком документа о приемке</t>
  </si>
  <si>
    <t>№177-Б2</t>
  </si>
  <si>
    <t>29.12.2022г.</t>
  </si>
  <si>
    <t>Услуги связи</t>
  </si>
  <si>
    <t>7707049388</t>
  </si>
  <si>
    <t>с 01.01.2023г. по 31.12.2023г.</t>
  </si>
  <si>
    <t>в течение 10 рабочих дней с даты подписания Абонентом акта оказанных услуг</t>
  </si>
  <si>
    <t>№ 19576/ТМ</t>
  </si>
  <si>
    <t>30.12.2022г.</t>
  </si>
  <si>
    <t>Услуги по обращению с твердыми  коммунальными отходами</t>
  </si>
  <si>
    <t>АО                                  " Мусороуборочная компания"</t>
  </si>
  <si>
    <t>Услуги по холодному водоснабжению</t>
  </si>
  <si>
    <t>МУП ЖКХ "Поселковое"</t>
  </si>
  <si>
    <t>До 10 числа месяца, следующего за месяцем, в котором была оказана услуга</t>
  </si>
  <si>
    <t xml:space="preserve">с 01.01.2023г. по         31.12.2023г. </t>
  </si>
  <si>
    <t xml:space="preserve">До 18 числа текущего месяца 30%, за фактически потребленную до 25 числа месяца,следующего за расчетным </t>
  </si>
  <si>
    <t>№ 14/23</t>
  </si>
  <si>
    <t>31.12.2022г.</t>
  </si>
  <si>
    <t>Услуги по дератизации,  дезинсекции</t>
  </si>
  <si>
    <t>с 31.12.2022г. по 31.12.2023г.</t>
  </si>
  <si>
    <t>Поквартально, в течение 10 рабочих дней с момента подписания акта оказанных услуг</t>
  </si>
  <si>
    <t>Электрическая энергия</t>
  </si>
  <si>
    <t>30% до 10 числа месяца, 40% до 25 числа месяца, остальное-до 18 числа месяца</t>
  </si>
  <si>
    <t>Охрана объекта с использованием кнопки тревожной сигнализации</t>
  </si>
  <si>
    <t>№ 34000846</t>
  </si>
  <si>
    <t>в течение 10 рабочих дней с даты подписания документов о приемке оказанных услуг</t>
  </si>
  <si>
    <t>№ 23070500354</t>
  </si>
  <si>
    <t>01.01.2023г.</t>
  </si>
  <si>
    <t>Услуги по техническому обслуживанию объектов станции системы пожарного мониторинга ПАК "Стрелец-мониторинг"</t>
  </si>
  <si>
    <t>2353002302</t>
  </si>
  <si>
    <t>в течение 10 рабочих дней с даты подписания Сторонами акта сдачи-приемки выполненных работ</t>
  </si>
  <si>
    <t>№ 47</t>
  </si>
  <si>
    <t>Услуги по техническому обслуживанию автоматических установок пожарной сигнализации</t>
  </si>
  <si>
    <t>Услуги за предоставления места для стоянки автобусов</t>
  </si>
  <si>
    <t>2353017179</t>
  </si>
  <si>
    <t>№ ДГ-23/77</t>
  </si>
  <si>
    <t>Услуги по техническому сопровождению транспортных средств</t>
  </si>
  <si>
    <t>2369000660</t>
  </si>
  <si>
    <t>ООО "КАНкорт"</t>
  </si>
  <si>
    <t>№ 23</t>
  </si>
  <si>
    <t>с 01.01.2023г. по 31.05.2023г.</t>
  </si>
  <si>
    <t>в течение 10 рабочих дней с даты получения от Поставщика документов о поставке товара и счета на оплату</t>
  </si>
  <si>
    <t>№ 08-04/2023</t>
  </si>
  <si>
    <t>26.01.2023г.</t>
  </si>
  <si>
    <t>Услуги по оценке рыночной стоимости права аренды муниципального имущества</t>
  </si>
  <si>
    <t>с 26.01.2023г. по 01.03.2023г.</t>
  </si>
  <si>
    <t>в течение 10 рабочих дней с даты подписания акта сдачи-приемки оказанных услуг и выставления Исполнителем счета на оплату</t>
  </si>
  <si>
    <t>27.01.2023г.</t>
  </si>
  <si>
    <t>Поставка товара (дез.средства, хоз.товары)</t>
  </si>
  <si>
    <t>с 27.01.2023г. по 31.12.2023г.</t>
  </si>
  <si>
    <t>Услуги по выполнению  предрейсового и послерейсового медосмотра водителей и техосмотра автобусов</t>
  </si>
  <si>
    <t>в течение 10 рабочих дней с момента выставления счета и акта выполненных работ</t>
  </si>
  <si>
    <t>17 января 2023г.</t>
  </si>
  <si>
    <t>30 декабря 2022г.</t>
  </si>
  <si>
    <t>18 января 2023г.</t>
  </si>
  <si>
    <t>31 декабря 2022г.</t>
  </si>
  <si>
    <t>25 января 2023г.</t>
  </si>
  <si>
    <t>26 января 2023г.</t>
  </si>
  <si>
    <t>01 января 2023г.</t>
  </si>
  <si>
    <t>№ 22</t>
  </si>
  <si>
    <t>01.09.2022г.</t>
  </si>
  <si>
    <t>Поставка нефтепродуков</t>
  </si>
  <si>
    <t>с 01.09.2022г. по 31.12.2022г.</t>
  </si>
  <si>
    <t>в течение 10 рабочих дней с даты  получения документов о поставке товара</t>
  </si>
  <si>
    <t>11 октября 2022г.</t>
  </si>
  <si>
    <t>11 ноября 2022г.</t>
  </si>
  <si>
    <t>06 декабря 2022г.</t>
  </si>
  <si>
    <t>24 января2023г.</t>
  </si>
  <si>
    <t>№ 14</t>
  </si>
  <si>
    <t>Неисключительное право использования программы для ЭВМ</t>
  </si>
  <si>
    <t>234602203000</t>
  </si>
  <si>
    <t>ИП Архангельский А.А.</t>
  </si>
  <si>
    <t>в течение 7 рабочих дней со дня подписания акта оказанных услуг</t>
  </si>
  <si>
    <t>№ 14-И</t>
  </si>
  <si>
    <t>09.01.2023г.</t>
  </si>
  <si>
    <t>Услуги по организации горячего питания детей инвалидов (набор продуктов питания)</t>
  </si>
  <si>
    <t>2353020735</t>
  </si>
  <si>
    <t>ООО "Тимашевское ПРТ райпо"</t>
  </si>
  <si>
    <t>с 09.01.2023г. по 19.05.2023г.</t>
  </si>
  <si>
    <t>в течение 10 рабочих дней с момента подписания Заказчиком акта оказанных услуг</t>
  </si>
  <si>
    <t>№ 15-И</t>
  </si>
  <si>
    <t>Услуги по организации горячего питания детей инвалидов (услуги по приготовлению)</t>
  </si>
  <si>
    <t>№ 14 ОВЗ</t>
  </si>
  <si>
    <t>Услуги по организации горячего питания детей  с ОВЗ (набор продуктов питания)</t>
  </si>
  <si>
    <t>№ 15</t>
  </si>
  <si>
    <t>Услуги по организации горячего питания детей с ОВЗ (услуги по приготовлению)</t>
  </si>
  <si>
    <t xml:space="preserve">№ 5 </t>
  </si>
  <si>
    <t>в течение 10 рабочих дней с даты получения от  Поставщика документов о поставке товара и счета на оплату</t>
  </si>
  <si>
    <t>№ 14/2</t>
  </si>
  <si>
    <t>№ 4</t>
  </si>
  <si>
    <t>Услуги по организации горячего питания детей 1-4 кл. (набор продуктов питания)</t>
  </si>
  <si>
    <t>с 09.01.2023г. по 24.03.2023г.</t>
  </si>
  <si>
    <t>Услуги по организации горячего питания детей 1-4 кл. (услуги по приготовлению)</t>
  </si>
  <si>
    <t>Услуги по организации горячего питания детей 5-11 кл. (многодетные семьи)</t>
  </si>
  <si>
    <t>Дополнительное соглашение о расторжении контракта № 1            от 07.02.2023г.</t>
  </si>
  <si>
    <t>01 февраля 2023г.</t>
  </si>
  <si>
    <t>27 января 2023г.</t>
  </si>
  <si>
    <t>02 февраля 2023г.</t>
  </si>
  <si>
    <t>31 января 2023г.</t>
  </si>
  <si>
    <t>06 февраля 2023г</t>
  </si>
  <si>
    <t>06 февраля 2023г.</t>
  </si>
  <si>
    <t>07 февраля 2023г.</t>
  </si>
  <si>
    <t>08 февраля 2023г.</t>
  </si>
  <si>
    <t>03 февраля 2023г.</t>
  </si>
  <si>
    <t>09 февраля 2023г.</t>
  </si>
  <si>
    <t>10 февраля 2023г.</t>
  </si>
  <si>
    <t>17 февраля 2023г.</t>
  </si>
  <si>
    <t>20 января 2023г.</t>
  </si>
  <si>
    <t>27 февраля 2023г.</t>
  </si>
  <si>
    <t>№ 14-СВО</t>
  </si>
  <si>
    <t>Услуги по организации горячего питания детей участников СВО (услуги по приготовлению)</t>
  </si>
  <si>
    <t>№ 15-СВО</t>
  </si>
  <si>
    <t>Услуги по организации горячего питания детей участников СВО (стоимость набора продуктов)</t>
  </si>
  <si>
    <t>№ АТ00-004027</t>
  </si>
  <si>
    <t>09.03.2023г.</t>
  </si>
  <si>
    <t>ООО "АйТи Мониторинг"</t>
  </si>
  <si>
    <t>с 09.03.2023г. по 31.12.2023г.</t>
  </si>
  <si>
    <t>в течение 10 рабочих дней с даты получения документов на оплату от Исполнителя</t>
  </si>
  <si>
    <t>Услуги по предоставлению права использования программы для ЭВМ</t>
  </si>
  <si>
    <t>6663003127</t>
  </si>
  <si>
    <t>АО "ПФ "СКБ Контур"</t>
  </si>
  <si>
    <t>в течение 10 рабочих дней с даты подписания Сторонами акта сдачи-приемки оказанных услуг</t>
  </si>
  <si>
    <t>№ 1/2023/11</t>
  </si>
  <si>
    <t>14.03.2023г.</t>
  </si>
  <si>
    <t>Услуги музея</t>
  </si>
  <si>
    <t>2310052884</t>
  </si>
  <si>
    <t>ГБУК КК "КГИАМЗ им.Е.Д.Фелицына</t>
  </si>
  <si>
    <t xml:space="preserve">с 14.03.2023г. по 23.12.2023г. </t>
  </si>
  <si>
    <t>№ 8</t>
  </si>
  <si>
    <t>20.03.2023г.</t>
  </si>
  <si>
    <t>Услуги по техническому обслуживанию и ремонту автобуса</t>
  </si>
  <si>
    <t>235303483777</t>
  </si>
  <si>
    <t>И.П.Аполонов А.А.</t>
  </si>
  <si>
    <t>с 20.03.2023г. по 31.12.2023г.</t>
  </si>
  <si>
    <t>Оплата 30% предоплаты в течение 5 рабочих дней со дня получения счета , окончательный расчет в течение 5 рабочих дней после получения акта оказанных услуг</t>
  </si>
  <si>
    <t>01 марта 2023г.</t>
  </si>
  <si>
    <t>28 февраля 2023г.</t>
  </si>
  <si>
    <t>03 марта 2023г.</t>
  </si>
  <si>
    <t>06 марта 2023г.</t>
  </si>
  <si>
    <t>07 марта 2023г.</t>
  </si>
  <si>
    <t>10 марта 2023г.</t>
  </si>
  <si>
    <t>16 марта 2023г.</t>
  </si>
  <si>
    <t>14 марта 2023г.</t>
  </si>
  <si>
    <t>22 марта 2023г.</t>
  </si>
  <si>
    <t>20 марта 2023г.</t>
  </si>
  <si>
    <t>23 марта 2023г.</t>
  </si>
  <si>
    <t>09 марта 2023г.</t>
  </si>
  <si>
    <t>15 марта 2023г.</t>
  </si>
  <si>
    <t>17 марта 2023г.</t>
  </si>
  <si>
    <t>№ К062780/23</t>
  </si>
  <si>
    <t>04.04.2023г.</t>
  </si>
  <si>
    <t>с 04.04.2023г. по 04.04.2024г.</t>
  </si>
  <si>
    <t>Дополнительное соглашение № 1 от 06.03.2023г.</t>
  </si>
  <si>
    <t>03.04.2023г.</t>
  </si>
  <si>
    <t>с 03.04.2023г. по 19.05.2023г.</t>
  </si>
  <si>
    <t>№ 06-04/2023</t>
  </si>
  <si>
    <t>06.04.2023г.</t>
  </si>
  <si>
    <t>235303782209</t>
  </si>
  <si>
    <t>ИП Пастухов Б.П.</t>
  </si>
  <si>
    <t>с 06.04.2023г. по 17.04.2023г.</t>
  </si>
  <si>
    <t>в течение 10 рабочих дней с момента подписания Заказчиком документа о приемке оказанных услуг и представления Исполни-телем документа на оплату.</t>
  </si>
  <si>
    <t>04 апреля 2023г.</t>
  </si>
  <si>
    <t>31 марта 2023г.</t>
  </si>
  <si>
    <t>05 апреля 2023г.</t>
  </si>
  <si>
    <t>01 апреля 2023г.</t>
  </si>
  <si>
    <t>27 марта 2023г.</t>
  </si>
  <si>
    <t>06 апреля 2023г.</t>
  </si>
  <si>
    <t>07 апреля 2023г.</t>
  </si>
  <si>
    <t>03 апреля 2023г.</t>
  </si>
  <si>
    <t>10 апреля 2023г.</t>
  </si>
  <si>
    <t>13 апреля 2023г.</t>
  </si>
  <si>
    <t>14 апреля 2023г.</t>
  </si>
  <si>
    <t>21 апреля 2023г.</t>
  </si>
  <si>
    <t>30 марта 2023г.</t>
  </si>
  <si>
    <t>24 марта 2023г.</t>
  </si>
  <si>
    <t>18 апреля 2023г.</t>
  </si>
  <si>
    <t>№ СП007419/23</t>
  </si>
  <si>
    <t>19.04.2023г.</t>
  </si>
  <si>
    <t>Выдача сертификата и лицензии на программы для ЭВМ</t>
  </si>
  <si>
    <t>6673240328</t>
  </si>
  <si>
    <t>ООО "Сертум-Про"</t>
  </si>
  <si>
    <t xml:space="preserve">с 19.04.2023г. по 31.12.2023г. </t>
  </si>
  <si>
    <t>в течение 10 (десяти) рабочих дней после подписания акта сдачи-приемки и получения документов на оплату..</t>
  </si>
  <si>
    <t>№ 88</t>
  </si>
  <si>
    <t>21.04.2023г.</t>
  </si>
  <si>
    <t>Поставка учебно-наглядных пособий</t>
  </si>
  <si>
    <t>2350009645</t>
  </si>
  <si>
    <t>ООО "Художественный салон "Сокол"</t>
  </si>
  <si>
    <t>с 21.04.2023г. по 08.06.2023г.</t>
  </si>
  <si>
    <t>в течение 7 (семи) рабочих дней с момента подписания документов о приемке товара.</t>
  </si>
  <si>
    <t>№  99</t>
  </si>
  <si>
    <t>12.05.2023г.</t>
  </si>
  <si>
    <t>Поставка дез.средств, хоз.товаров</t>
  </si>
  <si>
    <t>с 12.05.2023г. по 31.12.2023г.</t>
  </si>
  <si>
    <t>№ 30</t>
  </si>
  <si>
    <t>17.05.2023г.</t>
  </si>
  <si>
    <t>Поставка шин</t>
  </si>
  <si>
    <t>ООО "Навигатор Плюс"</t>
  </si>
  <si>
    <t>с 17.05.2023г. по 27.05.2023г.</t>
  </si>
  <si>
    <t>не более 10 рабочих дней с момента подписания Заказчиком документа о приемке товара и представления Поставщиком документа на оплату.</t>
  </si>
  <si>
    <t>№ КС1/386-23</t>
  </si>
  <si>
    <t>Услуги по восстановлению доступа и технической поддержке корпоративных сервисов</t>
  </si>
  <si>
    <t>2312038420</t>
  </si>
  <si>
    <t>ФГБОУ ВО "КубГУ"</t>
  </si>
  <si>
    <t>в течение 10 рабочих дней с даты подписания Сторонами акта сдачи-приемки оказанных услуг и предоставления счета на оплату</t>
  </si>
  <si>
    <t>№ 82/23</t>
  </si>
  <si>
    <t>№ 82-1/23</t>
  </si>
  <si>
    <t>24.04.2023г.</t>
  </si>
  <si>
    <t>Услуги по проведению медосмотров сотрудников</t>
  </si>
  <si>
    <t>2353006498</t>
  </si>
  <si>
    <t>ГБУЗ "Тимашевская ЦРБ"</t>
  </si>
  <si>
    <t>с 24.04.2023г. по 30.12.2023г.</t>
  </si>
  <si>
    <t>в течение 10 рабочих дней с момента подписания обеими Сторонами акта  оказанных услуг</t>
  </si>
  <si>
    <t>в течение 10 рабочих дней с момента подписания обеими Сторонами акта оказанных услуг</t>
  </si>
  <si>
    <t>№ 2023.157503</t>
  </si>
  <si>
    <t>24.05.2023г.</t>
  </si>
  <si>
    <t>Поставка линолеума</t>
  </si>
  <si>
    <t>ООО "Интерактив-Сервис"</t>
  </si>
  <si>
    <t>с 24.05.2023г. по 31.12.2023г.</t>
  </si>
  <si>
    <t xml:space="preserve">не позднее 7 дней с момента подписания Заказчиком документа о поставке товара и представления Поставщиком документа на оплату </t>
  </si>
  <si>
    <t>№21/23</t>
  </si>
  <si>
    <t>18.05.2023г.</t>
  </si>
  <si>
    <t>Услуги по ассенизации</t>
  </si>
  <si>
    <t>2333011443</t>
  </si>
  <si>
    <t>ООО "Водоканал"</t>
  </si>
  <si>
    <t>с 18.05.2023г. по 31.12.2023г.</t>
  </si>
  <si>
    <t>№ 98</t>
  </si>
  <si>
    <t>19.05.2023г.</t>
  </si>
  <si>
    <t>Поставка посуды</t>
  </si>
  <si>
    <t>с 19.05.2023г. по 31.12.2023г.</t>
  </si>
  <si>
    <t>№ 14/23/2</t>
  </si>
  <si>
    <t>22.05.2023г.</t>
  </si>
  <si>
    <t>с 22.05.2023г. по 31.08.2023г.</t>
  </si>
  <si>
    <t>№ 14-Л</t>
  </si>
  <si>
    <t>Услуги по организации питания детей в летнем лагере (стоимость продуктов)</t>
  </si>
  <si>
    <t>с 29.05.2023г. по 18.06.2023г.</t>
  </si>
  <si>
    <t>№ 14-П</t>
  </si>
  <si>
    <t>25.05.2023г.</t>
  </si>
  <si>
    <t>Услуги по организации питания детей в летнем лагере (услуги по приготовлению)</t>
  </si>
  <si>
    <t>№ 4390/220</t>
  </si>
  <si>
    <t>31.05.2023г.</t>
  </si>
  <si>
    <t>Поставка периодических печатных изданий</t>
  </si>
  <si>
    <t>7724490000</t>
  </si>
  <si>
    <t>АО "Почта России"</t>
  </si>
  <si>
    <t>с 01.07.2023г. по 31.12.2023г.</t>
  </si>
  <si>
    <t>Авансовый платеж в размере 100% перечисляется в течение 7 рабочих дней с даты заключения контракта</t>
  </si>
  <si>
    <t>03 мая 2023г.</t>
  </si>
  <si>
    <t>01 мая 2023г.</t>
  </si>
  <si>
    <t>04 мая 2023г.</t>
  </si>
  <si>
    <t>19 пареля 2023г.</t>
  </si>
  <si>
    <t>28 апреля 2023г.</t>
  </si>
  <si>
    <t>30 апреля 2023г.</t>
  </si>
  <si>
    <t>29 апреля 2023г.</t>
  </si>
  <si>
    <t>05 мая 2023г.</t>
  </si>
  <si>
    <t>12 мая 2023г.</t>
  </si>
  <si>
    <t>16 мая 2023г.</t>
  </si>
  <si>
    <t>18 мая 2023г.</t>
  </si>
  <si>
    <t>22 мая 2023г.</t>
  </si>
  <si>
    <t>19 мая 2023г.</t>
  </si>
  <si>
    <t>23 мая 2023г.</t>
  </si>
  <si>
    <t>26 мая 2023г.</t>
  </si>
  <si>
    <t>31 мая 2023г.</t>
  </si>
  <si>
    <t>№ А0048571</t>
  </si>
  <si>
    <t>13.04.2023г.</t>
  </si>
  <si>
    <t>Поставка учебной литературы</t>
  </si>
  <si>
    <t>7715995942</t>
  </si>
  <si>
    <t>АО "Издательство "Просвещение"</t>
  </si>
  <si>
    <t>с 13.04.2023г. по 25.08.2023г.</t>
  </si>
  <si>
    <t>в течение 10 рабочих дней со дня подписания Заказчиком УПД (товарной накладной), сформированной Поставщиком в ЭДО.</t>
  </si>
  <si>
    <t>№ 23-10609</t>
  </si>
  <si>
    <t>18.04.2023г.</t>
  </si>
  <si>
    <t xml:space="preserve">Изготовление и поставка полиграфической продукции строгого учета </t>
  </si>
  <si>
    <t>7706526550</t>
  </si>
  <si>
    <t>ООО "СпецБланк-Москва"</t>
  </si>
  <si>
    <t>с 18.04.2023г. по 28.05.2023г.</t>
  </si>
  <si>
    <t>в течение 7-ми (семи) рабочих дней с момента получения Продукции, счета-фактуры, накладнй и акта сдачи-приемки.</t>
  </si>
  <si>
    <t>№ А0056464</t>
  </si>
  <si>
    <t>26.06.2023г.</t>
  </si>
  <si>
    <t xml:space="preserve">с 26.06.2023г. по         30.09.2023г. </t>
  </si>
  <si>
    <t>в течение 7 рабочих дней со дня подписания Заказчиком УПД (товарной накладной), сформированного Поставщиком в системе ЭДО.</t>
  </si>
  <si>
    <t>№ 18</t>
  </si>
  <si>
    <t>27.04.2023г.</t>
  </si>
  <si>
    <t>Поставка учебно-педагогической документации</t>
  </si>
  <si>
    <t>ООО "Краснодарский учколлектор"</t>
  </si>
  <si>
    <t>с 27.04.2023г. по 11.08.2023г.</t>
  </si>
  <si>
    <t>в течение 7 рабочих дней с момента подписания Сторонами документов</t>
  </si>
  <si>
    <t>№ 1408</t>
  </si>
  <si>
    <t>14.06.2023г.</t>
  </si>
  <si>
    <t>Услуги по проведению специальной оценки условий труда</t>
  </si>
  <si>
    <t>2310136750</t>
  </si>
  <si>
    <t>ООО "Карьера"</t>
  </si>
  <si>
    <t>с 14.06.2023г. по 06.09.2023г.</t>
  </si>
  <si>
    <t>Оплата 30% предоплаты в течение 5 рабочих дней со дня получения счета , окончательный расчет в течение 5 рабочих дней с момента подписания Заказчиком акта сдачи-приема услуг</t>
  </si>
  <si>
    <t>№ 24</t>
  </si>
  <si>
    <t>01.06.2023г.</t>
  </si>
  <si>
    <t>с 01.06.2023г. по 31.12.2023г.</t>
  </si>
  <si>
    <t>01 июня 2023г.</t>
  </si>
  <si>
    <t>25 мая 2023г.</t>
  </si>
  <si>
    <t>02 июня 2023г.</t>
  </si>
  <si>
    <t>05 июня 2023г.</t>
  </si>
  <si>
    <t>07 июня 2023г.</t>
  </si>
  <si>
    <t>15 июня 2023г.</t>
  </si>
  <si>
    <t>16 июня 2023г.</t>
  </si>
  <si>
    <t>19 июня 2023г.</t>
  </si>
  <si>
    <t>18 июня 2023г.</t>
  </si>
  <si>
    <t>27 июня 2023г.</t>
  </si>
  <si>
    <t>Дополнительное соглашение о расторжении б/н от 07.06.2023г.</t>
  </si>
  <si>
    <t xml:space="preserve">Дополнительное соглашение о расторжении б/н от 07.06.2023г. </t>
  </si>
  <si>
    <t>Дополнительное соглашение о расторжении б/н от 19.06.2023г.</t>
  </si>
  <si>
    <t>Дополнительное соглашение о расторжении б/н от 20.02.2023г.</t>
  </si>
  <si>
    <t>Дополнительное ссоглашение о расторжении б/н от 09.01.2023г.</t>
  </si>
  <si>
    <t>Дополнительное соглашение о расторжении б/н от 14.06.2023г.</t>
  </si>
  <si>
    <t>Дополнительное соглашение о расторжении б/н от 14.04.2023г.</t>
  </si>
  <si>
    <t>Дополнительное соглашение о расторжении б/н от  07.06.2023г.</t>
  </si>
  <si>
    <t>Дополнительное соглашение о расторжении б/н от 30.06.2023г.</t>
  </si>
  <si>
    <t>МБОУ СОШ № 14</t>
  </si>
  <si>
    <t>№ 31</t>
  </si>
  <si>
    <t>30.06.2023г.</t>
  </si>
  <si>
    <t xml:space="preserve"> с 30.06.2023г. по 14.07.2023г.</t>
  </si>
  <si>
    <t>№ 175</t>
  </si>
  <si>
    <t>12.07.2023г.</t>
  </si>
  <si>
    <t>Поставка краски, эмали</t>
  </si>
  <si>
    <t>с 12.07.2023г. по 31.12.2023г.</t>
  </si>
  <si>
    <t>23.06.2023г.</t>
  </si>
  <si>
    <t>с 23.06.2023г. по 30.12.2023г.</t>
  </si>
  <si>
    <t>21.07.2023г.</t>
  </si>
  <si>
    <t>24.07.2023г.</t>
  </si>
  <si>
    <t>Услуга по обследованию и опрессовке центрального отопления</t>
  </si>
  <si>
    <t>2315160361</t>
  </si>
  <si>
    <t>ООО "ГРЦ"</t>
  </si>
  <si>
    <t>с 21.07.2023г. по 31.08.2023г.</t>
  </si>
  <si>
    <t>в течение 10 рабочих дней с момента подписания акта выплненных работ и предоставления документов на оплату</t>
  </si>
  <si>
    <t>Право использования программы для ЭВМ и услуги по её сопровождению</t>
  </si>
  <si>
    <t xml:space="preserve">с 24.07.2023г. по 31.12.2023г. </t>
  </si>
  <si>
    <t>в течение 10 рабочих дней с момента выставления счета Оператором и подписания обеими Сторонами акта оказанных услуг</t>
  </si>
  <si>
    <t>ИП Быстров А.А.</t>
  </si>
  <si>
    <t>17.07.2023г.</t>
  </si>
  <si>
    <t>№ 30/Т</t>
  </si>
  <si>
    <t>№ К1038638/23</t>
  </si>
  <si>
    <t>№ ЦБ-505</t>
  </si>
  <si>
    <t>№ 111/23</t>
  </si>
  <si>
    <t>№ 111-1/23</t>
  </si>
  <si>
    <t>Поставка краски ВД</t>
  </si>
  <si>
    <t>235305536400</t>
  </si>
  <si>
    <t xml:space="preserve">с 17.07.2023г. по 31.12.2023г. </t>
  </si>
  <si>
    <t>в течение 10 (десяти) рабочих дней с момента подписания Заказчиком документа о приемке товара и представления Поставщиком документа на оплату.</t>
  </si>
  <si>
    <t>№ 185</t>
  </si>
  <si>
    <t>с 21.07.2023г. по 31.12.2023г.</t>
  </si>
  <si>
    <t>№ 204</t>
  </si>
  <si>
    <t>Поставка плинтуса</t>
  </si>
  <si>
    <t>03 июля 2023г.</t>
  </si>
  <si>
    <t>12 июля 2023г.</t>
  </si>
  <si>
    <t>04 июля 2023г.</t>
  </si>
  <si>
    <t>30 июня 2023г.</t>
  </si>
  <si>
    <t>4 июля 2023г.</t>
  </si>
  <si>
    <t>06 июля 2023г.</t>
  </si>
  <si>
    <t>01 июля 2023г.</t>
  </si>
  <si>
    <t>21 июля 2023г.</t>
  </si>
  <si>
    <t>05 июля 2023г.</t>
  </si>
  <si>
    <t>10 июля 2023г.</t>
  </si>
  <si>
    <t>11 июля 2023г.</t>
  </si>
  <si>
    <t>17 июля 2023г.</t>
  </si>
  <si>
    <t>19 июля 2023г.</t>
  </si>
  <si>
    <t>25 июля 2023г.</t>
  </si>
  <si>
    <t>27 июля 2023г.</t>
  </si>
  <si>
    <t>24 июля 2023г.</t>
  </si>
  <si>
    <t>28 июля 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</si>
</sst>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7" formatCode="#,##0.00\ &quot;₽&quot;;\-#,##0.00\ &quot;₽&quot;"/>
    <numFmt numFmtId="164" formatCode="#,##0.00\ &quot;₽&quot;"/>
    <numFmt numFmtId="165" formatCode="[$-F800]dddd\,\ mmmm\ dd\,\ yyyy"/>
    <numFmt numFmtId="166" formatCode="#,##0.00&quot;р.&quot;"/>
    <numFmt numFmtId="167" formatCode="0_ ;\-0\ "/>
    <numFmt numFmtId="168" formatCode="#,##0.00_ ;\-#,##0.00\ "/>
  </numFmts>
  <fonts count="17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20"/>
      <color theme="1"/>
      <name val="Times New Roman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name val="Times New Roman"/>
      <family val="1"/>
      <charset val="204"/>
    </font>
    <font>
      <sz val="16"/>
      <color theme="1"/>
      <name val="Times New Roman"/>
      <family val="2"/>
      <charset val="204"/>
    </font>
    <font>
      <b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7">
    <xf numFmtId="0" fontId="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2" fillId="0" borderId="0" applyNumberFormat="0" applyFill="0" applyBorder="0" applyAlignment="0" applyProtection="0"/>
  </cellStyleXfs>
  <cellXfs count="60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66" fontId="3" fillId="0" borderId="6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166" fontId="4" fillId="0" borderId="6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4" borderId="0" xfId="0" applyFont="1" applyFill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4" fontId="3" fillId="0" borderId="0" xfId="0" applyNumberFormat="1" applyFont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2" borderId="13" xfId="0" applyNumberFormat="1" applyFont="1" applyFill="1" applyBorder="1" applyAlignment="1">
      <alignment horizontal="center" vertical="center" wrapText="1"/>
    </xf>
    <xf numFmtId="49" fontId="1" fillId="2" borderId="13" xfId="0" applyNumberFormat="1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7" fontId="1" fillId="0" borderId="0" xfId="0" applyNumberFormat="1" applyFont="1" applyAlignment="1">
      <alignment horizontal="center" vertical="center" wrapText="1"/>
    </xf>
    <xf numFmtId="7" fontId="1" fillId="2" borderId="1" xfId="0" applyNumberFormat="1" applyFont="1" applyFill="1" applyBorder="1" applyAlignment="1">
      <alignment horizontal="center" vertical="center" wrapText="1"/>
    </xf>
    <xf numFmtId="7" fontId="1" fillId="3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3" fillId="0" borderId="0" xfId="4" applyFont="1" applyAlignment="1">
      <alignment horizontal="center" vertical="center" wrapText="1"/>
    </xf>
    <xf numFmtId="0" fontId="13" fillId="0" borderId="0" xfId="6" applyFont="1" applyBorder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center" vertical="center" wrapText="1"/>
    </xf>
    <xf numFmtId="0" fontId="13" fillId="6" borderId="1" xfId="4" applyFont="1" applyFill="1" applyBorder="1" applyAlignment="1">
      <alignment horizontal="center" vertical="center" wrapText="1"/>
    </xf>
    <xf numFmtId="0" fontId="13" fillId="6" borderId="1" xfId="1" applyFont="1" applyFill="1" applyBorder="1" applyAlignment="1">
      <alignment horizontal="center" vertical="center" wrapText="1"/>
    </xf>
    <xf numFmtId="0" fontId="13" fillId="7" borderId="1" xfId="4" applyFont="1" applyFill="1" applyBorder="1" applyAlignment="1">
      <alignment horizontal="center" vertical="center" wrapText="1"/>
    </xf>
    <xf numFmtId="0" fontId="13" fillId="7" borderId="1" xfId="1" applyFont="1" applyFill="1" applyBorder="1" applyAlignment="1">
      <alignment horizontal="center" vertical="center" wrapText="1"/>
    </xf>
    <xf numFmtId="0" fontId="13" fillId="8" borderId="1" xfId="4" applyFont="1" applyFill="1" applyBorder="1" applyAlignment="1">
      <alignment horizontal="center" vertical="center" wrapText="1"/>
    </xf>
    <xf numFmtId="0" fontId="13" fillId="8" borderId="1" xfId="1" applyFont="1" applyFill="1" applyBorder="1" applyAlignment="1">
      <alignment horizontal="center" vertical="center" wrapText="1"/>
    </xf>
    <xf numFmtId="0" fontId="13" fillId="9" borderId="1" xfId="4" applyFont="1" applyFill="1" applyBorder="1" applyAlignment="1">
      <alignment horizontal="center" vertical="center" wrapText="1"/>
    </xf>
    <xf numFmtId="0" fontId="13" fillId="9" borderId="1" xfId="1" applyFont="1" applyFill="1" applyBorder="1" applyAlignment="1">
      <alignment horizontal="center" vertical="center" wrapText="1"/>
    </xf>
    <xf numFmtId="0" fontId="13" fillId="10" borderId="1" xfId="1" applyFont="1" applyFill="1" applyBorder="1" applyAlignment="1">
      <alignment horizontal="center" vertical="center" wrapText="1"/>
    </xf>
    <xf numFmtId="0" fontId="13" fillId="10" borderId="1" xfId="4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165" fontId="1" fillId="2" borderId="14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center" vertical="center" wrapText="1"/>
    </xf>
    <xf numFmtId="7" fontId="1" fillId="2" borderId="14" xfId="0" applyNumberFormat="1" applyFont="1" applyFill="1" applyBorder="1" applyAlignment="1">
      <alignment horizontal="center" vertical="center" wrapText="1"/>
    </xf>
    <xf numFmtId="164" fontId="1" fillId="2" borderId="14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165" fontId="1" fillId="3" borderId="14" xfId="0" applyNumberFormat="1" applyFont="1" applyFill="1" applyBorder="1" applyAlignment="1">
      <alignment horizontal="center" vertical="center" wrapText="1"/>
    </xf>
    <xf numFmtId="164" fontId="1" fillId="3" borderId="14" xfId="0" applyNumberFormat="1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167" fontId="1" fillId="3" borderId="1" xfId="0" applyNumberFormat="1" applyFont="1" applyFill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168" fontId="1" fillId="3" borderId="14" xfId="0" applyNumberFormat="1" applyFont="1" applyFill="1" applyBorder="1" applyAlignment="1">
      <alignment horizontal="center" vertical="center" wrapText="1"/>
    </xf>
    <xf numFmtId="0" fontId="13" fillId="10" borderId="14" xfId="1" applyFont="1" applyFill="1" applyBorder="1" applyAlignment="1">
      <alignment horizontal="center" vertical="center" wrapText="1"/>
    </xf>
    <xf numFmtId="0" fontId="13" fillId="6" borderId="14" xfId="1" applyFont="1" applyFill="1" applyBorder="1" applyAlignment="1">
      <alignment horizontal="center" vertical="center" wrapText="1"/>
    </xf>
    <xf numFmtId="0" fontId="13" fillId="7" borderId="14" xfId="1" applyFont="1" applyFill="1" applyBorder="1" applyAlignment="1">
      <alignment horizontal="center" vertical="center" wrapText="1"/>
    </xf>
    <xf numFmtId="0" fontId="13" fillId="9" borderId="14" xfId="1" applyFont="1" applyFill="1" applyBorder="1" applyAlignment="1">
      <alignment horizontal="center" vertical="center" wrapText="1"/>
    </xf>
    <xf numFmtId="0" fontId="13" fillId="8" borderId="14" xfId="1" applyFont="1" applyFill="1" applyBorder="1" applyAlignment="1">
      <alignment horizontal="center" vertical="center" wrapText="1"/>
    </xf>
    <xf numFmtId="0" fontId="13" fillId="5" borderId="14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7" fontId="1" fillId="11" borderId="6" xfId="0" applyNumberFormat="1" applyFont="1" applyFill="1" applyBorder="1" applyAlignment="1">
      <alignment horizontal="center" vertical="center" wrapText="1"/>
    </xf>
    <xf numFmtId="7" fontId="1" fillId="13" borderId="6" xfId="0" applyNumberFormat="1" applyFont="1" applyFill="1" applyBorder="1" applyAlignment="1">
      <alignment horizontal="center" vertical="center" wrapText="1"/>
    </xf>
    <xf numFmtId="164" fontId="1" fillId="2" borderId="13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165" fontId="1" fillId="3" borderId="15" xfId="0" applyNumberFormat="1" applyFont="1" applyFill="1" applyBorder="1" applyAlignment="1">
      <alignment horizontal="center" vertical="center" wrapText="1"/>
    </xf>
    <xf numFmtId="164" fontId="1" fillId="3" borderId="15" xfId="0" applyNumberFormat="1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4" fontId="1" fillId="3" borderId="15" xfId="0" applyNumberFormat="1" applyFont="1" applyFill="1" applyBorder="1" applyAlignment="1">
      <alignment horizontal="center" vertical="center" wrapText="1"/>
    </xf>
    <xf numFmtId="1" fontId="1" fillId="3" borderId="15" xfId="0" applyNumberFormat="1" applyFont="1" applyFill="1" applyBorder="1" applyAlignment="1">
      <alignment horizontal="center" vertical="center" wrapText="1"/>
    </xf>
    <xf numFmtId="2" fontId="1" fillId="3" borderId="14" xfId="0" applyNumberFormat="1" applyFont="1" applyFill="1" applyBorder="1" applyAlignment="1">
      <alignment horizontal="center" vertical="center" wrapText="1"/>
    </xf>
    <xf numFmtId="164" fontId="1" fillId="14" borderId="6" xfId="0" applyNumberFormat="1" applyFont="1" applyFill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164" fontId="1" fillId="16" borderId="6" xfId="0" applyNumberFormat="1" applyFont="1" applyFill="1" applyBorder="1" applyAlignment="1">
      <alignment horizontal="center" vertical="center" wrapText="1"/>
    </xf>
    <xf numFmtId="49" fontId="1" fillId="10" borderId="3" xfId="0" applyNumberFormat="1" applyFont="1" applyFill="1" applyBorder="1" applyAlignment="1">
      <alignment horizontal="center" vertical="center" wrapText="1"/>
    </xf>
    <xf numFmtId="4" fontId="1" fillId="3" borderId="14" xfId="0" applyNumberFormat="1" applyFont="1" applyFill="1" applyBorder="1" applyAlignment="1">
      <alignment horizontal="center" vertical="center" wrapText="1"/>
    </xf>
    <xf numFmtId="0" fontId="1" fillId="18" borderId="0" xfId="0" applyFont="1" applyFill="1" applyAlignment="1">
      <alignment horizontal="center" vertical="center" wrapText="1"/>
    </xf>
    <xf numFmtId="14" fontId="1" fillId="18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1" xfId="0" applyNumberFormat="1" applyFont="1" applyFill="1" applyBorder="1" applyAlignment="1">
      <alignment horizontal="center" vertical="center" wrapText="1"/>
    </xf>
    <xf numFmtId="49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1" xfId="0" applyNumberFormat="1" applyFont="1" applyFill="1" applyBorder="1" applyAlignment="1">
      <alignment horizontal="center" vertical="center" wrapText="1"/>
    </xf>
    <xf numFmtId="0" fontId="1" fillId="18" borderId="21" xfId="0" applyFont="1" applyFill="1" applyBorder="1" applyAlignment="1" applyProtection="1">
      <alignment horizontal="center" vertical="center" wrapText="1"/>
      <protection locked="0"/>
    </xf>
    <xf numFmtId="14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2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3" xfId="0" applyNumberFormat="1" applyFont="1" applyBorder="1" applyAlignment="1" applyProtection="1">
      <alignment horizontal="center" vertical="center" wrapText="1"/>
      <protection locked="0"/>
    </xf>
    <xf numFmtId="165" fontId="1" fillId="0" borderId="23" xfId="0" applyNumberFormat="1" applyFont="1" applyBorder="1" applyAlignment="1" applyProtection="1">
      <alignment horizontal="center" vertical="center" wrapText="1"/>
      <protection locked="0"/>
    </xf>
    <xf numFmtId="49" fontId="1" fillId="0" borderId="23" xfId="0" applyNumberFormat="1" applyFont="1" applyBorder="1" applyAlignment="1" applyProtection="1">
      <alignment horizontal="center" vertical="center" wrapText="1"/>
      <protection locked="0"/>
    </xf>
    <xf numFmtId="4" fontId="1" fillId="0" borderId="24" xfId="0" applyNumberFormat="1" applyFont="1" applyBorder="1" applyAlignment="1" applyProtection="1">
      <alignment horizontal="center" vertical="center" wrapText="1"/>
      <protection locked="0"/>
    </xf>
    <xf numFmtId="165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0" borderId="24" xfId="0" applyNumberFormat="1" applyFont="1" applyBorder="1" applyAlignment="1" applyProtection="1">
      <alignment horizontal="center" vertical="center" wrapText="1"/>
      <protection locked="0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3" xfId="0" applyNumberFormat="1" applyFont="1" applyBorder="1" applyAlignment="1" applyProtection="1">
      <alignment horizontal="center" vertical="center" wrapText="1"/>
      <protection locked="0"/>
    </xf>
    <xf numFmtId="14" fontId="1" fillId="0" borderId="24" xfId="0" applyNumberFormat="1" applyFont="1" applyBorder="1" applyAlignment="1" applyProtection="1">
      <alignment horizontal="center" vertical="center" wrapText="1"/>
      <protection locked="0"/>
    </xf>
    <xf numFmtId="49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27" xfId="0" applyNumberFormat="1" applyFont="1" applyBorder="1" applyAlignment="1" applyProtection="1">
      <alignment horizontal="center" vertical="center" wrapText="1"/>
      <protection locked="0"/>
    </xf>
    <xf numFmtId="49" fontId="1" fillId="0" borderId="27" xfId="0" applyNumberFormat="1" applyFont="1" applyBorder="1" applyAlignment="1" applyProtection="1">
      <alignment horizontal="center" vertical="center" wrapText="1"/>
      <protection locked="0"/>
    </xf>
    <xf numFmtId="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0" borderId="28" xfId="0" applyNumberFormat="1" applyFont="1" applyBorder="1" applyAlignment="1" applyProtection="1">
      <alignment horizontal="center" vertical="center" wrapText="1"/>
      <protection locked="0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27" xfId="0" applyNumberFormat="1" applyFont="1" applyBorder="1" applyAlignment="1" applyProtection="1">
      <alignment horizontal="center" vertical="center" wrapText="1"/>
      <protection locked="0"/>
    </xf>
    <xf numFmtId="14" fontId="1" fillId="0" borderId="28" xfId="0" applyNumberFormat="1" applyFont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>
      <alignment horizontal="center" vertical="center" wrapText="1"/>
    </xf>
    <xf numFmtId="165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>
      <alignment horizontal="center" vertical="center" wrapText="1"/>
    </xf>
    <xf numFmtId="16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0" xfId="0" applyNumberFormat="1" applyFont="1" applyBorder="1" applyAlignment="1" applyProtection="1">
      <alignment horizontal="center" vertical="center" wrapText="1"/>
      <protection locked="0"/>
    </xf>
    <xf numFmtId="165" fontId="1" fillId="0" borderId="30" xfId="0" applyNumberFormat="1" applyFont="1" applyBorder="1" applyAlignment="1" applyProtection="1">
      <alignment horizontal="center" vertical="center" wrapText="1"/>
      <protection locked="0"/>
    </xf>
    <xf numFmtId="49" fontId="1" fillId="0" borderId="30" xfId="0" applyNumberFormat="1" applyFont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0" xfId="0" applyNumberFormat="1" applyFont="1" applyBorder="1" applyAlignment="1" applyProtection="1">
      <alignment horizontal="center" vertical="center" wrapText="1"/>
      <protection locked="0"/>
    </xf>
    <xf numFmtId="4" fontId="1" fillId="0" borderId="31" xfId="0" applyNumberFormat="1" applyFont="1" applyBorder="1" applyAlignment="1" applyProtection="1">
      <alignment horizontal="center" vertical="center" wrapText="1"/>
      <protection locked="0"/>
    </xf>
    <xf numFmtId="165" fontId="1" fillId="0" borderId="31" xfId="0" applyNumberFormat="1" applyFont="1" applyBorder="1" applyAlignment="1" applyProtection="1">
      <alignment horizontal="center" vertical="center" wrapText="1"/>
      <protection locked="0"/>
    </xf>
    <xf numFmtId="49" fontId="1" fillId="0" borderId="31" xfId="0" applyNumberFormat="1" applyFont="1" applyBorder="1" applyAlignment="1" applyProtection="1">
      <alignment horizontal="center" vertical="center" wrapText="1"/>
      <protection locked="0"/>
    </xf>
    <xf numFmtId="14" fontId="1" fillId="0" borderId="31" xfId="0" applyNumberFormat="1" applyFont="1" applyBorder="1" applyAlignment="1" applyProtection="1">
      <alignment horizontal="center" vertical="center" wrapText="1"/>
      <protection locked="0"/>
    </xf>
    <xf numFmtId="168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>
      <alignment horizontal="center" vertical="center" wrapText="1"/>
    </xf>
    <xf numFmtId="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2" xfId="0" applyFont="1" applyFill="1" applyBorder="1" applyAlignment="1" applyProtection="1">
      <alignment horizontal="center" vertical="center" wrapText="1"/>
      <protection locked="0"/>
    </xf>
    <xf numFmtId="165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2" xfId="0" applyNumberFormat="1" applyFont="1" applyFill="1" applyBorder="1" applyAlignment="1">
      <alignment horizontal="center" vertical="center" wrapText="1"/>
    </xf>
    <xf numFmtId="1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3" xfId="0" applyFont="1" applyFill="1" applyBorder="1" applyAlignment="1" applyProtection="1">
      <alignment horizontal="center" vertical="center" wrapText="1"/>
      <protection locked="0"/>
    </xf>
    <xf numFmtId="165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3" xfId="0" applyNumberFormat="1" applyFont="1" applyFill="1" applyBorder="1" applyAlignment="1">
      <alignment horizontal="center" vertical="center" wrapText="1"/>
    </xf>
    <xf numFmtId="49" fontId="1" fillId="18" borderId="33" xfId="0" applyNumberFormat="1" applyFont="1" applyFill="1" applyBorder="1" applyAlignment="1">
      <alignment horizontal="center" vertical="center" wrapText="1"/>
    </xf>
    <xf numFmtId="14" fontId="1" fillId="18" borderId="3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35" xfId="0" applyNumberFormat="1" applyFont="1" applyBorder="1" applyAlignment="1" applyProtection="1">
      <alignment horizontal="center" vertical="center" wrapText="1"/>
      <protection locked="0"/>
    </xf>
    <xf numFmtId="165" fontId="1" fillId="0" borderId="35" xfId="0" applyNumberFormat="1" applyFont="1" applyBorder="1" applyAlignment="1" applyProtection="1">
      <alignment horizontal="center" vertical="center" wrapText="1"/>
      <protection locked="0"/>
    </xf>
    <xf numFmtId="49" fontId="1" fillId="0" borderId="35" xfId="0" applyNumberFormat="1" applyFont="1" applyBorder="1" applyAlignment="1" applyProtection="1">
      <alignment horizontal="center" vertical="center" wrapText="1"/>
      <protection locked="0"/>
    </xf>
    <xf numFmtId="4" fontId="1" fillId="0" borderId="36" xfId="0" applyNumberFormat="1" applyFont="1" applyBorder="1" applyAlignment="1" applyProtection="1">
      <alignment horizontal="center" vertical="center" wrapText="1"/>
      <protection locked="0"/>
    </xf>
    <xf numFmtId="165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0" borderId="36" xfId="0" applyNumberFormat="1" applyFont="1" applyBorder="1" applyAlignment="1" applyProtection="1">
      <alignment horizontal="center" vertical="center" wrapText="1"/>
      <protection locked="0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35" xfId="0" applyNumberFormat="1" applyFont="1" applyBorder="1" applyAlignment="1" applyProtection="1">
      <alignment horizontal="center" vertical="center" wrapText="1"/>
      <protection locked="0"/>
    </xf>
    <xf numFmtId="14" fontId="1" fillId="0" borderId="36" xfId="0" applyNumberFormat="1" applyFont="1" applyBorder="1" applyAlignment="1" applyProtection="1">
      <alignment horizontal="center" vertical="center" wrapText="1"/>
      <protection locked="0"/>
    </xf>
    <xf numFmtId="49" fontId="1" fillId="18" borderId="37" xfId="0" applyNumberFormat="1" applyFont="1" applyFill="1" applyBorder="1" applyAlignment="1">
      <alignment horizontal="center" vertical="center" wrapText="1"/>
    </xf>
    <xf numFmtId="49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8" xfId="0" applyNumberFormat="1" applyFont="1" applyFill="1" applyBorder="1" applyAlignment="1">
      <alignment horizontal="center" vertical="center" wrapText="1"/>
    </xf>
    <xf numFmtId="0" fontId="1" fillId="18" borderId="39" xfId="0" applyFont="1" applyFill="1" applyBorder="1" applyAlignment="1" applyProtection="1">
      <alignment horizontal="center" vertical="center" wrapText="1"/>
      <protection locked="0"/>
    </xf>
    <xf numFmtId="14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0" xfId="0" applyFont="1" applyFill="1" applyBorder="1" applyAlignment="1" applyProtection="1">
      <alignment horizontal="center" vertical="center" wrapText="1"/>
      <protection locked="0"/>
    </xf>
    <xf numFmtId="49" fontId="1" fillId="18" borderId="40" xfId="0" applyNumberFormat="1" applyFont="1" applyFill="1" applyBorder="1" applyAlignment="1">
      <alignment horizontal="center" vertical="center" wrapText="1"/>
    </xf>
    <xf numFmtId="49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0" xfId="0" applyNumberFormat="1" applyFont="1" applyFill="1" applyBorder="1" applyAlignment="1">
      <alignment horizontal="center" vertical="center" wrapText="1"/>
    </xf>
    <xf numFmtId="168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0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2" xfId="0" applyNumberFormat="1" applyFont="1" applyBorder="1" applyAlignment="1" applyProtection="1">
      <alignment horizontal="center" vertical="center" wrapText="1"/>
      <protection locked="0"/>
    </xf>
    <xf numFmtId="165" fontId="1" fillId="0" borderId="42" xfId="0" applyNumberFormat="1" applyFont="1" applyBorder="1" applyAlignment="1" applyProtection="1">
      <alignment horizontal="center" vertical="center" wrapText="1"/>
      <protection locked="0"/>
    </xf>
    <xf numFmtId="49" fontId="1" fillId="0" borderId="42" xfId="0" applyNumberFormat="1" applyFont="1" applyBorder="1" applyAlignment="1" applyProtection="1">
      <alignment horizontal="center" vertical="center" wrapText="1"/>
      <protection locked="0"/>
    </xf>
    <xf numFmtId="4" fontId="1" fillId="0" borderId="43" xfId="0" applyNumberFormat="1" applyFont="1" applyBorder="1" applyAlignment="1" applyProtection="1">
      <alignment horizontal="center" vertical="center" wrapText="1"/>
      <protection locked="0"/>
    </xf>
    <xf numFmtId="165" fontId="1" fillId="0" borderId="43" xfId="0" applyNumberFormat="1" applyFont="1" applyBorder="1" applyAlignment="1" applyProtection="1">
      <alignment horizontal="center" vertical="center" wrapText="1"/>
      <protection locked="0"/>
    </xf>
    <xf numFmtId="49" fontId="1" fillId="0" borderId="43" xfId="0" applyNumberFormat="1" applyFont="1" applyBorder="1" applyAlignment="1" applyProtection="1">
      <alignment horizontal="center" vertical="center" wrapText="1"/>
      <protection locked="0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2" xfId="0" applyNumberFormat="1" applyFont="1" applyBorder="1" applyAlignment="1" applyProtection="1">
      <alignment horizontal="center" vertical="center" wrapText="1"/>
      <protection locked="0"/>
    </xf>
    <xf numFmtId="14" fontId="1" fillId="0" borderId="43" xfId="0" applyNumberFormat="1" applyFont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48" xfId="0" applyNumberFormat="1" applyFont="1" applyBorder="1" applyAlignment="1" applyProtection="1">
      <alignment horizontal="center" vertical="center" wrapText="1"/>
      <protection locked="0"/>
    </xf>
    <xf numFmtId="165" fontId="1" fillId="0" borderId="48" xfId="0" applyNumberFormat="1" applyFont="1" applyBorder="1" applyAlignment="1" applyProtection="1">
      <alignment horizontal="center" vertical="center" wrapText="1"/>
      <protection locked="0"/>
    </xf>
    <xf numFmtId="4" fontId="1" fillId="0" borderId="51" xfId="0" applyNumberFormat="1" applyFont="1" applyBorder="1" applyAlignment="1" applyProtection="1">
      <alignment horizontal="center" vertical="center" wrapText="1"/>
      <protection locked="0"/>
    </xf>
    <xf numFmtId="165" fontId="1" fillId="0" borderId="51" xfId="0" applyNumberFormat="1" applyFont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8" xfId="0" applyNumberFormat="1" applyFont="1" applyBorder="1" applyAlignment="1" applyProtection="1">
      <alignment horizontal="center" vertical="center" wrapText="1"/>
      <protection locked="0"/>
    </xf>
    <xf numFmtId="14" fontId="1" fillId="0" borderId="51" xfId="0" applyNumberFormat="1" applyFont="1" applyBorder="1" applyAlignment="1" applyProtection="1">
      <alignment horizontal="center" vertical="center" wrapText="1"/>
      <protection locked="0"/>
    </xf>
    <xf numFmtId="49" fontId="1" fillId="18" borderId="52" xfId="0" applyNumberFormat="1" applyFont="1" applyFill="1" applyBorder="1" applyAlignment="1">
      <alignment horizontal="center" vertical="center" wrapText="1"/>
    </xf>
    <xf numFmtId="49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2" xfId="0" applyNumberFormat="1" applyFont="1" applyFill="1" applyBorder="1" applyAlignment="1">
      <alignment horizontal="center" vertical="center" wrapText="1"/>
    </xf>
    <xf numFmtId="168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4" xfId="0" applyNumberFormat="1" applyFont="1" applyBorder="1" applyAlignment="1" applyProtection="1">
      <alignment horizontal="center" vertical="center" wrapText="1"/>
      <protection locked="0"/>
    </xf>
    <xf numFmtId="165" fontId="1" fillId="0" borderId="54" xfId="0" applyNumberFormat="1" applyFont="1" applyBorder="1" applyAlignment="1" applyProtection="1">
      <alignment horizontal="center" vertical="center" wrapText="1"/>
      <protection locked="0"/>
    </xf>
    <xf numFmtId="49" fontId="1" fillId="0" borderId="54" xfId="0" applyNumberFormat="1" applyFont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4" xfId="0" applyNumberFormat="1" applyFont="1" applyBorder="1" applyAlignment="1" applyProtection="1">
      <alignment horizontal="center" vertical="center" wrapText="1"/>
      <protection locked="0"/>
    </xf>
    <xf numFmtId="4" fontId="1" fillId="0" borderId="55" xfId="0" applyNumberFormat="1" applyFont="1" applyBorder="1" applyAlignment="1" applyProtection="1">
      <alignment horizontal="center" vertical="center" wrapText="1"/>
      <protection locked="0"/>
    </xf>
    <xf numFmtId="165" fontId="1" fillId="0" borderId="55" xfId="0" applyNumberFormat="1" applyFont="1" applyBorder="1" applyAlignment="1" applyProtection="1">
      <alignment horizontal="center" vertical="center" wrapText="1"/>
      <protection locked="0"/>
    </xf>
    <xf numFmtId="49" fontId="1" fillId="0" borderId="55" xfId="0" applyNumberFormat="1" applyFont="1" applyBorder="1" applyAlignment="1" applyProtection="1">
      <alignment horizontal="center" vertical="center" wrapText="1"/>
      <protection locked="0"/>
    </xf>
    <xf numFmtId="14" fontId="1" fillId="0" borderId="55" xfId="0" applyNumberFormat="1" applyFont="1" applyBorder="1" applyAlignment="1" applyProtection="1">
      <alignment horizontal="center" vertical="center" wrapText="1"/>
      <protection locked="0"/>
    </xf>
    <xf numFmtId="0" fontId="1" fillId="18" borderId="56" xfId="0" applyFont="1" applyFill="1" applyBorder="1" applyAlignment="1" applyProtection="1">
      <alignment horizontal="center" vertical="center" wrapText="1"/>
      <protection locked="0"/>
    </xf>
    <xf numFmtId="49" fontId="1" fillId="18" borderId="56" xfId="0" applyNumberFormat="1" applyFont="1" applyFill="1" applyBorder="1" applyAlignment="1">
      <alignment horizontal="center" vertical="center" wrapText="1"/>
    </xf>
    <xf numFmtId="49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6" xfId="0" applyNumberFormat="1" applyFont="1" applyFill="1" applyBorder="1" applyAlignment="1">
      <alignment horizontal="center" vertical="center" wrapText="1"/>
    </xf>
    <xf numFmtId="16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58" xfId="0" applyNumberFormat="1" applyFont="1" applyBorder="1" applyAlignment="1" applyProtection="1">
      <alignment horizontal="center" vertical="center" wrapText="1"/>
      <protection locked="0"/>
    </xf>
    <xf numFmtId="165" fontId="1" fillId="0" borderId="58" xfId="0" applyNumberFormat="1" applyFont="1" applyBorder="1" applyAlignment="1" applyProtection="1">
      <alignment horizontal="center" vertical="center" wrapText="1"/>
      <protection locked="0"/>
    </xf>
    <xf numFmtId="49" fontId="1" fillId="0" borderId="58" xfId="0" applyNumberFormat="1" applyFont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58" xfId="0" applyNumberFormat="1" applyFont="1" applyBorder="1" applyAlignment="1" applyProtection="1">
      <alignment horizontal="center" vertical="center" wrapText="1"/>
      <protection locked="0"/>
    </xf>
    <xf numFmtId="4" fontId="1" fillId="0" borderId="59" xfId="0" applyNumberFormat="1" applyFont="1" applyBorder="1" applyAlignment="1" applyProtection="1">
      <alignment horizontal="center" vertical="center" wrapText="1"/>
      <protection locked="0"/>
    </xf>
    <xf numFmtId="165" fontId="1" fillId="0" borderId="59" xfId="0" applyNumberFormat="1" applyFont="1" applyBorder="1" applyAlignment="1" applyProtection="1">
      <alignment horizontal="center" vertical="center" wrapText="1"/>
      <protection locked="0"/>
    </xf>
    <xf numFmtId="49" fontId="1" fillId="0" borderId="59" xfId="0" applyNumberFormat="1" applyFont="1" applyBorder="1" applyAlignment="1" applyProtection="1">
      <alignment horizontal="center" vertical="center" wrapText="1"/>
      <protection locked="0"/>
    </xf>
    <xf numFmtId="14" fontId="1" fillId="0" borderId="59" xfId="0" applyNumberFormat="1" applyFont="1" applyBorder="1" applyAlignment="1" applyProtection="1">
      <alignment horizontal="center" vertical="center" wrapText="1"/>
      <protection locked="0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64" xfId="0" applyNumberFormat="1" applyFont="1" applyBorder="1" applyAlignment="1" applyProtection="1">
      <alignment horizontal="center" vertical="center" wrapText="1"/>
      <protection locked="0"/>
    </xf>
    <xf numFmtId="49" fontId="1" fillId="0" borderId="64" xfId="0" applyNumberFormat="1" applyFont="1" applyBorder="1" applyAlignment="1" applyProtection="1">
      <alignment horizontal="center" vertical="center" wrapText="1"/>
      <protection locked="0"/>
    </xf>
    <xf numFmtId="4" fontId="1" fillId="0" borderId="67" xfId="0" applyNumberFormat="1" applyFont="1" applyBorder="1" applyAlignment="1" applyProtection="1">
      <alignment horizontal="center" vertical="center" wrapText="1"/>
      <protection locked="0"/>
    </xf>
    <xf numFmtId="49" fontId="1" fillId="0" borderId="67" xfId="0" applyNumberFormat="1" applyFont="1" applyBorder="1" applyAlignment="1" applyProtection="1">
      <alignment horizontal="center" vertical="center" wrapText="1"/>
      <protection locked="0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64" xfId="0" applyNumberFormat="1" applyFont="1" applyBorder="1" applyAlignment="1" applyProtection="1">
      <alignment horizontal="center" vertical="center" wrapText="1"/>
      <protection locked="0"/>
    </xf>
    <xf numFmtId="14" fontId="1" fillId="0" borderId="67" xfId="0" applyNumberFormat="1" applyFont="1" applyBorder="1" applyAlignment="1" applyProtection="1">
      <alignment horizontal="center" vertical="center" wrapText="1"/>
      <protection locked="0"/>
    </xf>
    <xf numFmtId="164" fontId="4" fillId="0" borderId="16" xfId="0" applyNumberFormat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4" fontId="4" fillId="0" borderId="16" xfId="0" applyNumberFormat="1" applyFont="1" applyBorder="1" applyAlignment="1">
      <alignment horizontal="center" vertical="center" wrapText="1"/>
    </xf>
    <xf numFmtId="4" fontId="4" fillId="0" borderId="18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3" fillId="0" borderId="16" xfId="0" applyNumberFormat="1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164" fontId="3" fillId="0" borderId="16" xfId="0" applyNumberFormat="1" applyFont="1" applyBorder="1" applyAlignment="1">
      <alignment horizontal="center" vertical="center" wrapText="1"/>
    </xf>
    <xf numFmtId="164" fontId="3" fillId="0" borderId="17" xfId="0" applyNumberFormat="1" applyFont="1" applyBorder="1" applyAlignment="1">
      <alignment horizontal="center" vertical="center" wrapText="1"/>
    </xf>
    <xf numFmtId="164" fontId="3" fillId="0" borderId="18" xfId="0" applyNumberFormat="1" applyFont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15" borderId="5" xfId="0" applyFont="1" applyFill="1" applyBorder="1" applyAlignment="1">
      <alignment horizontal="center" vertical="center" wrapText="1"/>
    </xf>
    <xf numFmtId="0" fontId="6" fillId="15" borderId="3" xfId="0" applyFont="1" applyFill="1" applyBorder="1" applyAlignment="1">
      <alignment horizontal="center" vertical="center" wrapText="1"/>
    </xf>
    <xf numFmtId="0" fontId="6" fillId="15" borderId="4" xfId="0" applyFont="1" applyFill="1" applyBorder="1" applyAlignment="1">
      <alignment horizontal="center" vertical="center" wrapText="1"/>
    </xf>
    <xf numFmtId="0" fontId="6" fillId="15" borderId="5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4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3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2" fillId="17" borderId="3" xfId="0" applyFont="1" applyFill="1" applyBorder="1" applyAlignment="1">
      <alignment horizontal="center" vertical="center" wrapText="1"/>
    </xf>
    <xf numFmtId="0" fontId="2" fillId="17" borderId="4" xfId="0" applyFont="1" applyFill="1" applyBorder="1" applyAlignment="1">
      <alignment horizontal="center" vertical="center" wrapText="1"/>
    </xf>
    <xf numFmtId="0" fontId="2" fillId="17" borderId="5" xfId="0" applyFont="1" applyFill="1" applyBorder="1" applyAlignment="1">
      <alignment horizontal="center" vertical="center" wrapText="1"/>
    </xf>
    <xf numFmtId="0" fontId="8" fillId="12" borderId="8" xfId="0" applyFont="1" applyFill="1" applyBorder="1" applyAlignment="1">
      <alignment horizontal="center" vertical="center" wrapText="1"/>
    </xf>
    <xf numFmtId="0" fontId="8" fillId="12" borderId="9" xfId="0" applyFont="1" applyFill="1" applyBorder="1" applyAlignment="1">
      <alignment horizontal="center" vertical="center" wrapText="1"/>
    </xf>
    <xf numFmtId="0" fontId="8" fillId="12" borderId="10" xfId="0" applyFont="1" applyFill="1" applyBorder="1" applyAlignment="1">
      <alignment horizontal="center" vertical="center" wrapText="1"/>
    </xf>
    <xf numFmtId="0" fontId="8" fillId="12" borderId="11" xfId="0" applyFont="1" applyFill="1" applyBorder="1" applyAlignment="1">
      <alignment horizontal="center" vertical="center" wrapText="1"/>
    </xf>
    <xf numFmtId="0" fontId="8" fillId="12" borderId="7" xfId="0" applyFont="1" applyFill="1" applyBorder="1" applyAlignment="1">
      <alignment horizontal="center" vertical="center" wrapText="1"/>
    </xf>
    <xf numFmtId="0" fontId="8" fillId="12" borderId="12" xfId="0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 wrapText="1"/>
    </xf>
    <xf numFmtId="164" fontId="9" fillId="2" borderId="9" xfId="0" applyNumberFormat="1" applyFont="1" applyFill="1" applyBorder="1" applyAlignment="1">
      <alignment horizontal="center" vertical="center" wrapText="1"/>
    </xf>
    <xf numFmtId="164" fontId="9" fillId="2" borderId="10" xfId="0" applyNumberFormat="1" applyFont="1" applyFill="1" applyBorder="1" applyAlignment="1">
      <alignment horizontal="center" vertical="center" wrapText="1"/>
    </xf>
    <xf numFmtId="164" fontId="9" fillId="2" borderId="11" xfId="0" applyNumberFormat="1" applyFont="1" applyFill="1" applyBorder="1" applyAlignment="1">
      <alignment horizontal="center" vertical="center" wrapText="1"/>
    </xf>
    <xf numFmtId="164" fontId="9" fillId="2" borderId="7" xfId="0" applyNumberFormat="1" applyFont="1" applyFill="1" applyBorder="1" applyAlignment="1">
      <alignment horizontal="center" vertical="center" wrapText="1"/>
    </xf>
    <xf numFmtId="164" fontId="9" fillId="2" borderId="12" xfId="0" applyNumberFormat="1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7" borderId="4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>
      <alignment horizontal="center" vertical="center" wrapText="1"/>
    </xf>
    <xf numFmtId="49" fontId="1" fillId="18" borderId="42" xfId="0" applyNumberFormat="1" applyFont="1" applyFill="1" applyBorder="1" applyAlignment="1">
      <alignment horizontal="center" vertical="center" wrapText="1"/>
    </xf>
    <xf numFmtId="49" fontId="1" fillId="18" borderId="43" xfId="0" applyNumberFormat="1" applyFont="1" applyFill="1" applyBorder="1" applyAlignment="1">
      <alignment horizontal="center" vertical="center" wrapText="1"/>
    </xf>
    <xf numFmtId="1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3" xfId="0" applyNumberFormat="1" applyFont="1" applyFill="1" applyBorder="1" applyAlignment="1">
      <alignment horizontal="center" vertical="center" wrapText="1"/>
    </xf>
    <xf numFmtId="4" fontId="1" fillId="18" borderId="55" xfId="0" applyNumberFormat="1" applyFont="1" applyFill="1" applyBorder="1" applyAlignment="1">
      <alignment horizontal="center" vertical="center" wrapText="1"/>
    </xf>
    <xf numFmtId="4" fontId="1" fillId="18" borderId="54" xfId="0" applyNumberFormat="1" applyFont="1" applyFill="1" applyBorder="1" applyAlignment="1">
      <alignment horizontal="center" vertical="center" wrapText="1"/>
    </xf>
    <xf numFmtId="49" fontId="1" fillId="18" borderId="53" xfId="0" applyNumberFormat="1" applyFont="1" applyFill="1" applyBorder="1" applyAlignment="1">
      <alignment horizontal="center" vertical="center" wrapText="1"/>
    </xf>
    <xf numFmtId="49" fontId="1" fillId="18" borderId="54" xfId="0" applyNumberFormat="1" applyFont="1" applyFill="1" applyBorder="1" applyAlignment="1">
      <alignment horizontal="center" vertical="center" wrapText="1"/>
    </xf>
    <xf numFmtId="0" fontId="1" fillId="18" borderId="53" xfId="0" applyFont="1" applyFill="1" applyBorder="1" applyAlignment="1" applyProtection="1">
      <alignment horizontal="center" vertical="center" wrapText="1"/>
      <protection locked="0"/>
    </xf>
    <xf numFmtId="0" fontId="1" fillId="18" borderId="54" xfId="0" applyFont="1" applyFill="1" applyBorder="1" applyAlignment="1" applyProtection="1">
      <alignment horizontal="center" vertical="center" wrapText="1"/>
      <protection locked="0"/>
    </xf>
    <xf numFmtId="0" fontId="1" fillId="18" borderId="41" xfId="0" applyFont="1" applyFill="1" applyBorder="1" applyAlignment="1" applyProtection="1">
      <alignment horizontal="center" vertical="center" wrapText="1"/>
      <protection locked="0"/>
    </xf>
    <xf numFmtId="0" fontId="1" fillId="18" borderId="42" xfId="0" applyFont="1" applyFill="1" applyBorder="1" applyAlignment="1" applyProtection="1">
      <alignment horizontal="center" vertical="center" wrapText="1"/>
      <protection locked="0"/>
    </xf>
    <xf numFmtId="0" fontId="1" fillId="18" borderId="43" xfId="0" applyFont="1" applyFill="1" applyBorder="1" applyAlignment="1" applyProtection="1">
      <alignment horizontal="center" vertical="center" wrapText="1"/>
      <protection locked="0"/>
    </xf>
    <xf numFmtId="165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1" xfId="0" applyNumberFormat="1" applyFont="1" applyFill="1" applyBorder="1" applyAlignment="1">
      <alignment horizontal="center" vertical="center" wrapText="1"/>
    </xf>
    <xf numFmtId="4" fontId="1" fillId="18" borderId="42" xfId="0" applyNumberFormat="1" applyFont="1" applyFill="1" applyBorder="1" applyAlignment="1">
      <alignment horizontal="center" vertical="center" wrapText="1"/>
    </xf>
    <xf numFmtId="4" fontId="1" fillId="18" borderId="43" xfId="0" applyNumberFormat="1" applyFont="1" applyFill="1" applyBorder="1" applyAlignment="1">
      <alignment horizontal="center" vertical="center" wrapText="1"/>
    </xf>
    <xf numFmtId="0" fontId="1" fillId="18" borderId="55" xfId="0" applyFont="1" applyFill="1" applyBorder="1" applyAlignment="1" applyProtection="1">
      <alignment horizontal="center" vertical="center" wrapText="1"/>
      <protection locked="0"/>
    </xf>
    <xf numFmtId="168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57" xfId="0" applyFont="1" applyFill="1" applyBorder="1" applyAlignment="1" applyProtection="1">
      <alignment horizontal="center" vertical="center" wrapText="1"/>
      <protection locked="0"/>
    </xf>
    <xf numFmtId="0" fontId="1" fillId="18" borderId="59" xfId="0" applyFont="1" applyFill="1" applyBorder="1" applyAlignment="1" applyProtection="1">
      <alignment horizontal="center" vertical="center" wrapText="1"/>
      <protection locked="0"/>
    </xf>
    <xf numFmtId="0" fontId="1" fillId="18" borderId="58" xfId="0" applyFont="1" applyFill="1" applyBorder="1" applyAlignment="1" applyProtection="1">
      <alignment horizontal="center" vertical="center" wrapText="1"/>
      <protection locked="0"/>
    </xf>
    <xf numFmtId="49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7" xfId="0" applyNumberFormat="1" applyFont="1" applyFill="1" applyBorder="1" applyAlignment="1">
      <alignment horizontal="center" vertical="center" wrapText="1"/>
    </xf>
    <xf numFmtId="4" fontId="1" fillId="18" borderId="59" xfId="0" applyNumberFormat="1" applyFont="1" applyFill="1" applyBorder="1" applyAlignment="1">
      <alignment horizontal="center" vertical="center" wrapText="1"/>
    </xf>
    <xf numFmtId="4" fontId="1" fillId="18" borderId="5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10" borderId="3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1" fillId="18" borderId="57" xfId="0" applyNumberFormat="1" applyFont="1" applyFill="1" applyBorder="1" applyAlignment="1">
      <alignment horizontal="center" vertical="center" wrapText="1"/>
    </xf>
    <xf numFmtId="49" fontId="1" fillId="18" borderId="59" xfId="0" applyNumberFormat="1" applyFont="1" applyFill="1" applyBorder="1" applyAlignment="1">
      <alignment horizontal="center" vertical="center" wrapText="1"/>
    </xf>
    <xf numFmtId="49" fontId="1" fillId="18" borderId="58" xfId="0" applyNumberFormat="1" applyFont="1" applyFill="1" applyBorder="1" applyAlignment="1">
      <alignment horizontal="center" vertical="center" wrapText="1"/>
    </xf>
    <xf numFmtId="49" fontId="1" fillId="18" borderId="55" xfId="0" applyNumberFormat="1" applyFont="1" applyFill="1" applyBorder="1" applyAlignment="1">
      <alignment horizontal="center" vertical="center" wrapText="1"/>
    </xf>
    <xf numFmtId="49" fontId="1" fillId="18" borderId="34" xfId="0" applyNumberFormat="1" applyFont="1" applyFill="1" applyBorder="1" applyAlignment="1">
      <alignment horizontal="center" vertical="center" wrapText="1"/>
    </xf>
    <xf numFmtId="49" fontId="1" fillId="18" borderId="36" xfId="0" applyNumberFormat="1" applyFont="1" applyFill="1" applyBorder="1" applyAlignment="1">
      <alignment horizontal="center" vertical="center" wrapText="1"/>
    </xf>
    <xf numFmtId="1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8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4" xfId="0" applyFont="1" applyFill="1" applyBorder="1" applyAlignment="1" applyProtection="1">
      <alignment horizontal="center" vertical="center" wrapText="1"/>
      <protection locked="0"/>
    </xf>
    <xf numFmtId="0" fontId="1" fillId="18" borderId="36" xfId="0" applyFont="1" applyFill="1" applyBorder="1" applyAlignment="1" applyProtection="1">
      <alignment horizontal="center" vertical="center" wrapText="1"/>
      <protection locked="0"/>
    </xf>
    <xf numFmtId="165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4" xfId="0" applyNumberFormat="1" applyFont="1" applyFill="1" applyBorder="1" applyAlignment="1">
      <alignment horizontal="center" vertical="center" wrapText="1"/>
    </xf>
    <xf numFmtId="4" fontId="1" fillId="18" borderId="36" xfId="0" applyNumberFormat="1" applyFont="1" applyFill="1" applyBorder="1" applyAlignment="1">
      <alignment horizontal="center" vertical="center" wrapText="1"/>
    </xf>
    <xf numFmtId="165" fontId="16" fillId="18" borderId="57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59" xfId="0" applyNumberFormat="1" applyFont="1" applyFill="1" applyBorder="1" applyAlignment="1" applyProtection="1">
      <alignment horizontal="center" vertical="center" wrapText="1"/>
      <protection locked="0"/>
    </xf>
    <xf numFmtId="165" fontId="16" fillId="18" borderId="5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5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7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58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43" xfId="0" applyNumberFormat="1" applyFont="1" applyFill="1" applyBorder="1" applyAlignment="1" applyProtection="1">
      <alignment horizontal="center" vertical="center" wrapText="1"/>
      <protection locked="0"/>
    </xf>
    <xf numFmtId="49" fontId="1" fillId="10" borderId="3" xfId="0" applyNumberFormat="1" applyFont="1" applyFill="1" applyBorder="1" applyAlignment="1">
      <alignment horizontal="center" vertical="center" wrapText="1"/>
    </xf>
    <xf numFmtId="49" fontId="1" fillId="10" borderId="5" xfId="0" applyNumberFormat="1" applyFont="1" applyFill="1" applyBorder="1" applyAlignment="1">
      <alignment horizontal="center" vertical="center" wrapText="1"/>
    </xf>
    <xf numFmtId="49" fontId="1" fillId="18" borderId="22" xfId="0" applyNumberFormat="1" applyFont="1" applyFill="1" applyBorder="1" applyAlignment="1">
      <alignment horizontal="center" vertical="center" wrapText="1"/>
    </xf>
    <xf numFmtId="49" fontId="1" fillId="18" borderId="23" xfId="0" applyNumberFormat="1" applyFont="1" applyFill="1" applyBorder="1" applyAlignment="1">
      <alignment horizontal="center" vertical="center" wrapText="1"/>
    </xf>
    <xf numFmtId="49" fontId="1" fillId="18" borderId="24" xfId="0" applyNumberFormat="1" applyFont="1" applyFill="1" applyBorder="1" applyAlignment="1">
      <alignment horizontal="center" vertical="center" wrapText="1"/>
    </xf>
    <xf numFmtId="1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2" xfId="0" applyNumberFormat="1" applyFont="1" applyFill="1" applyBorder="1" applyAlignment="1">
      <alignment horizontal="center" vertical="center" wrapText="1"/>
    </xf>
    <xf numFmtId="4" fontId="1" fillId="18" borderId="23" xfId="0" applyNumberFormat="1" applyFont="1" applyFill="1" applyBorder="1" applyAlignment="1">
      <alignment horizontal="center" vertical="center" wrapText="1"/>
    </xf>
    <xf numFmtId="4" fontId="1" fillId="18" borderId="24" xfId="0" applyNumberFormat="1" applyFont="1" applyFill="1" applyBorder="1" applyAlignment="1">
      <alignment horizontal="center" vertical="center" wrapText="1"/>
    </xf>
    <xf numFmtId="16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9" xfId="0" applyNumberFormat="1" applyFont="1" applyFill="1" applyBorder="1" applyAlignment="1">
      <alignment horizontal="center" vertical="center" wrapText="1"/>
    </xf>
    <xf numFmtId="49" fontId="1" fillId="18" borderId="31" xfId="0" applyNumberFormat="1" applyFont="1" applyFill="1" applyBorder="1" applyAlignment="1">
      <alignment horizontal="center" vertical="center" wrapText="1"/>
    </xf>
    <xf numFmtId="49" fontId="1" fillId="18" borderId="30" xfId="0" applyNumberFormat="1" applyFont="1" applyFill="1" applyBorder="1" applyAlignment="1">
      <alignment horizontal="center" vertical="center" wrapText="1"/>
    </xf>
    <xf numFmtId="49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9" xfId="0" applyFont="1" applyFill="1" applyBorder="1" applyAlignment="1" applyProtection="1">
      <alignment horizontal="center" vertical="center" wrapText="1"/>
      <protection locked="0"/>
    </xf>
    <xf numFmtId="0" fontId="1" fillId="18" borderId="31" xfId="0" applyFont="1" applyFill="1" applyBorder="1" applyAlignment="1" applyProtection="1">
      <alignment horizontal="center" vertical="center" wrapText="1"/>
      <protection locked="0"/>
    </xf>
    <xf numFmtId="0" fontId="1" fillId="18" borderId="30" xfId="0" applyFont="1" applyFill="1" applyBorder="1" applyAlignment="1" applyProtection="1">
      <alignment horizontal="center" vertical="center" wrapText="1"/>
      <protection locked="0"/>
    </xf>
    <xf numFmtId="1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9" xfId="0" applyNumberFormat="1" applyFont="1" applyFill="1" applyBorder="1" applyAlignment="1">
      <alignment horizontal="center" vertical="center" wrapText="1"/>
    </xf>
    <xf numFmtId="4" fontId="1" fillId="18" borderId="31" xfId="0" applyNumberFormat="1" applyFont="1" applyFill="1" applyBorder="1" applyAlignment="1">
      <alignment horizontal="center" vertical="center" wrapText="1"/>
    </xf>
    <xf numFmtId="4" fontId="1" fillId="18" borderId="30" xfId="0" applyNumberFormat="1" applyFont="1" applyFill="1" applyBorder="1" applyAlignment="1">
      <alignment horizontal="center" vertical="center" wrapText="1"/>
    </xf>
    <xf numFmtId="16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9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1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0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2" xfId="0" applyFont="1" applyFill="1" applyBorder="1" applyAlignment="1" applyProtection="1">
      <alignment horizontal="center" vertical="center" wrapText="1"/>
      <protection locked="0"/>
    </xf>
    <xf numFmtId="0" fontId="1" fillId="18" borderId="23" xfId="0" applyFont="1" applyFill="1" applyBorder="1" applyAlignment="1" applyProtection="1">
      <alignment horizontal="center" vertical="center" wrapText="1"/>
      <protection locked="0"/>
    </xf>
    <xf numFmtId="0" fontId="1" fillId="18" borderId="24" xfId="0" applyFont="1" applyFill="1" applyBorder="1" applyAlignment="1" applyProtection="1">
      <alignment horizontal="center" vertical="center" wrapText="1"/>
      <protection locked="0"/>
    </xf>
    <xf numFmtId="164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2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3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2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>
      <alignment horizontal="center" vertical="center" wrapText="1"/>
    </xf>
    <xf numFmtId="1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35" xfId="0" applyFont="1" applyFill="1" applyBorder="1" applyAlignment="1" applyProtection="1">
      <alignment horizontal="center" vertical="center" wrapText="1"/>
      <protection locked="0"/>
    </xf>
    <xf numFmtId="165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35" xfId="0" applyNumberFormat="1" applyFont="1" applyFill="1" applyBorder="1" applyAlignment="1">
      <alignment horizontal="center" vertical="center" wrapText="1"/>
    </xf>
    <xf numFmtId="16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4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5" xfId="0" applyNumberFormat="1" applyFont="1" applyFill="1" applyBorder="1" applyAlignment="1" applyProtection="1">
      <alignment horizontal="center" vertical="center" wrapText="1"/>
      <protection locked="0"/>
    </xf>
    <xf numFmtId="16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7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164" fontId="1" fillId="18" borderId="36" xfId="0" applyNumberFormat="1" applyFont="1" applyFill="1" applyBorder="1" applyAlignment="1" applyProtection="1">
      <alignment horizontal="center" vertical="center" wrapText="1"/>
      <protection locked="0"/>
    </xf>
    <xf numFmtId="0" fontId="1" fillId="10" borderId="0" xfId="0" applyFont="1" applyFill="1" applyAlignment="1">
      <alignment horizontal="center" vertical="center" wrapText="1"/>
    </xf>
    <xf numFmtId="0" fontId="1" fillId="10" borderId="19" xfId="0" applyFont="1" applyFill="1" applyBorder="1" applyAlignment="1">
      <alignment horizontal="center" vertical="center" wrapText="1"/>
    </xf>
    <xf numFmtId="49" fontId="1" fillId="18" borderId="44" xfId="0" applyNumberFormat="1" applyFont="1" applyFill="1" applyBorder="1" applyAlignment="1">
      <alignment horizontal="center" vertical="center" wrapText="1"/>
    </xf>
    <xf numFmtId="49" fontId="1" fillId="18" borderId="47" xfId="0" applyNumberFormat="1" applyFont="1" applyFill="1" applyBorder="1" applyAlignment="1">
      <alignment horizontal="center" vertical="center" wrapText="1"/>
    </xf>
    <xf numFmtId="49" fontId="1" fillId="18" borderId="50" xfId="0" applyNumberFormat="1" applyFont="1" applyFill="1" applyBorder="1" applyAlignment="1">
      <alignment horizontal="center" vertical="center" wrapText="1"/>
    </xf>
    <xf numFmtId="49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65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46" xfId="0" applyFont="1" applyFill="1" applyBorder="1" applyAlignment="1" applyProtection="1">
      <alignment horizontal="center" vertical="center" wrapText="1"/>
      <protection locked="0"/>
    </xf>
    <xf numFmtId="0" fontId="1" fillId="18" borderId="49" xfId="0" applyFont="1" applyFill="1" applyBorder="1" applyAlignment="1" applyProtection="1">
      <alignment horizontal="center" vertical="center" wrapText="1"/>
      <protection locked="0"/>
    </xf>
    <xf numFmtId="0" fontId="1" fillId="18" borderId="52" xfId="0" applyFont="1" applyFill="1" applyBorder="1" applyAlignment="1" applyProtection="1">
      <alignment horizontal="center" vertical="center" wrapText="1"/>
      <protection locked="0"/>
    </xf>
    <xf numFmtId="4" fontId="1" fillId="18" borderId="45" xfId="0" applyNumberFormat="1" applyFont="1" applyFill="1" applyBorder="1" applyAlignment="1">
      <alignment horizontal="center" vertical="center" wrapText="1"/>
    </xf>
    <xf numFmtId="4" fontId="1" fillId="18" borderId="48" xfId="0" applyNumberFormat="1" applyFont="1" applyFill="1" applyBorder="1" applyAlignment="1">
      <alignment horizontal="center" vertical="center" wrapText="1"/>
    </xf>
    <xf numFmtId="4" fontId="1" fillId="18" borderId="51" xfId="0" applyNumberFormat="1" applyFont="1" applyFill="1" applyBorder="1" applyAlignment="1">
      <alignment horizontal="center" vertical="center" wrapText="1"/>
    </xf>
    <xf numFmtId="1" fontId="1" fillId="18" borderId="45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48" xfId="0" applyNumberFormat="1" applyFont="1" applyFill="1" applyBorder="1" applyAlignment="1" applyProtection="1">
      <alignment horizontal="center" vertical="center" wrapText="1"/>
      <protection locked="0"/>
    </xf>
    <xf numFmtId="1" fontId="1" fillId="18" borderId="5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6" xfId="0" applyNumberFormat="1" applyFont="1" applyFill="1" applyBorder="1" applyAlignment="1">
      <alignment horizontal="center" vertical="center" wrapText="1"/>
    </xf>
    <xf numFmtId="49" fontId="1" fillId="18" borderId="27" xfId="0" applyNumberFormat="1" applyFont="1" applyFill="1" applyBorder="1" applyAlignment="1">
      <alignment horizontal="center" vertical="center" wrapText="1"/>
    </xf>
    <xf numFmtId="49" fontId="1" fillId="18" borderId="28" xfId="0" applyNumberFormat="1" applyFont="1" applyFill="1" applyBorder="1" applyAlignment="1">
      <alignment horizontal="center" vertical="center" wrapText="1"/>
    </xf>
    <xf numFmtId="49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26" xfId="0" applyFont="1" applyFill="1" applyBorder="1" applyAlignment="1" applyProtection="1">
      <alignment horizontal="center" vertical="center" wrapText="1"/>
      <protection locked="0"/>
    </xf>
    <xf numFmtId="0" fontId="1" fillId="18" borderId="27" xfId="0" applyFont="1" applyFill="1" applyBorder="1" applyAlignment="1" applyProtection="1">
      <alignment horizontal="center" vertical="center" wrapText="1"/>
      <protection locked="0"/>
    </xf>
    <xf numFmtId="0" fontId="1" fillId="18" borderId="28" xfId="0" applyFont="1" applyFill="1" applyBorder="1" applyAlignment="1" applyProtection="1">
      <alignment horizontal="center" vertical="center" wrapText="1"/>
      <protection locked="0"/>
    </xf>
    <xf numFmtId="4" fontId="1" fillId="18" borderId="26" xfId="0" applyNumberFormat="1" applyFont="1" applyFill="1" applyBorder="1" applyAlignment="1">
      <alignment horizontal="center" vertical="center" wrapText="1"/>
    </xf>
    <xf numFmtId="4" fontId="1" fillId="18" borderId="27" xfId="0" applyNumberFormat="1" applyFont="1" applyFill="1" applyBorder="1" applyAlignment="1">
      <alignment horizontal="center" vertical="center" wrapText="1"/>
    </xf>
    <xf numFmtId="4" fontId="1" fillId="18" borderId="28" xfId="0" applyNumberFormat="1" applyFont="1" applyFill="1" applyBorder="1" applyAlignment="1">
      <alignment horizontal="center" vertical="center" wrapText="1"/>
    </xf>
    <xf numFmtId="14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6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28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0" xfId="0" applyNumberFormat="1" applyFont="1" applyFill="1" applyBorder="1" applyAlignment="1">
      <alignment horizontal="center" vertical="center" wrapText="1"/>
    </xf>
    <xf numFmtId="49" fontId="1" fillId="18" borderId="63" xfId="0" applyNumberFormat="1" applyFont="1" applyFill="1" applyBorder="1" applyAlignment="1">
      <alignment horizontal="center" vertical="center" wrapText="1"/>
    </xf>
    <xf numFmtId="49" fontId="1" fillId="18" borderId="66" xfId="0" applyNumberFormat="1" applyFont="1" applyFill="1" applyBorder="1" applyAlignment="1">
      <alignment horizontal="center" vertical="center" wrapText="1"/>
    </xf>
    <xf numFmtId="49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9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" fillId="18" borderId="62" xfId="0" applyFont="1" applyFill="1" applyBorder="1" applyAlignment="1" applyProtection="1">
      <alignment horizontal="center" vertical="center" wrapText="1"/>
      <protection locked="0"/>
    </xf>
    <xf numFmtId="0" fontId="1" fillId="18" borderId="65" xfId="0" applyFont="1" applyFill="1" applyBorder="1" applyAlignment="1" applyProtection="1">
      <alignment horizontal="center" vertical="center" wrapText="1"/>
      <protection locked="0"/>
    </xf>
    <xf numFmtId="0" fontId="1" fillId="18" borderId="68" xfId="0" applyFont="1" applyFill="1" applyBorder="1" applyAlignment="1" applyProtection="1">
      <alignment horizontal="center" vertical="center" wrapText="1"/>
      <protection locked="0"/>
    </xf>
    <xf numFmtId="4" fontId="1" fillId="18" borderId="61" xfId="0" applyNumberFormat="1" applyFont="1" applyFill="1" applyBorder="1" applyAlignment="1">
      <alignment horizontal="center" vertical="center" wrapText="1"/>
    </xf>
    <xf numFmtId="4" fontId="1" fillId="18" borderId="64" xfId="0" applyNumberFormat="1" applyFont="1" applyFill="1" applyBorder="1" applyAlignment="1">
      <alignment horizontal="center" vertical="center" wrapText="1"/>
    </xf>
    <xf numFmtId="4" fontId="1" fillId="18" borderId="67" xfId="0" applyNumberFormat="1" applyFont="1" applyFill="1" applyBorder="1" applyAlignment="1">
      <alignment horizontal="center" vertical="center" wrapText="1"/>
    </xf>
    <xf numFmtId="14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14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1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4" xfId="0" applyNumberFormat="1" applyFont="1" applyFill="1" applyBorder="1" applyAlignment="1" applyProtection="1">
      <alignment horizontal="center" vertical="center" wrapText="1"/>
      <protection locked="0"/>
    </xf>
    <xf numFmtId="2" fontId="1" fillId="18" borderId="67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13" xfId="0" applyFont="1" applyFill="1" applyBorder="1" applyAlignment="1">
      <alignment horizontal="center" vertical="center" wrapText="1"/>
    </xf>
    <xf numFmtId="0" fontId="14" fillId="5" borderId="2" xfId="0" applyFont="1" applyFill="1" applyBorder="1" applyAlignment="1">
      <alignment horizontal="center" vertical="center" wrapText="1"/>
    </xf>
    <xf numFmtId="0" fontId="13" fillId="10" borderId="13" xfId="1" applyFont="1" applyFill="1" applyBorder="1" applyAlignment="1">
      <alignment horizontal="center" vertical="center" wrapText="1"/>
    </xf>
    <xf numFmtId="0" fontId="13" fillId="10" borderId="2" xfId="1" applyFont="1" applyFill="1" applyBorder="1" applyAlignment="1">
      <alignment horizontal="center" vertical="center" wrapText="1"/>
    </xf>
    <xf numFmtId="0" fontId="13" fillId="8" borderId="13" xfId="1" applyFont="1" applyFill="1" applyBorder="1" applyAlignment="1">
      <alignment horizontal="center" vertical="center" wrapText="1"/>
    </xf>
    <xf numFmtId="0" fontId="13" fillId="8" borderId="2" xfId="1" applyFont="1" applyFill="1" applyBorder="1" applyAlignment="1">
      <alignment horizontal="center" vertical="center" wrapText="1"/>
    </xf>
    <xf numFmtId="0" fontId="13" fillId="9" borderId="13" xfId="1" applyFont="1" applyFill="1" applyBorder="1" applyAlignment="1">
      <alignment horizontal="center" vertical="center" wrapText="1"/>
    </xf>
    <xf numFmtId="0" fontId="13" fillId="9" borderId="2" xfId="1" applyFont="1" applyFill="1" applyBorder="1" applyAlignment="1">
      <alignment horizontal="center" vertical="center" wrapText="1"/>
    </xf>
    <xf numFmtId="0" fontId="13" fillId="7" borderId="13" xfId="1" applyFont="1" applyFill="1" applyBorder="1" applyAlignment="1">
      <alignment horizontal="center" vertical="center" wrapText="1"/>
    </xf>
    <xf numFmtId="0" fontId="13" fillId="7" borderId="2" xfId="1" applyFont="1" applyFill="1" applyBorder="1" applyAlignment="1">
      <alignment horizontal="center" vertical="center" wrapText="1"/>
    </xf>
    <xf numFmtId="0" fontId="13" fillId="6" borderId="13" xfId="1" applyFont="1" applyFill="1" applyBorder="1" applyAlignment="1">
      <alignment horizontal="center" vertical="center" wrapText="1"/>
    </xf>
    <xf numFmtId="0" fontId="13" fillId="6" borderId="2" xfId="1" applyFont="1" applyFill="1" applyBorder="1" applyAlignment="1">
      <alignment horizontal="center" vertical="center" wrapText="1"/>
    </xf>
  </cellXfs>
  <cellStyles count="7">
    <cellStyle name="Гиперссылка" xfId="6" builtinId="8"/>
    <cellStyle name="Обычный" xfId="0" builtinId="0"/>
    <cellStyle name="Обычный 2" xfId="2"/>
    <cellStyle name="Обычный 2 2" xfId="5"/>
    <cellStyle name="Обычный 2 3" xfId="3"/>
    <cellStyle name="Обычный 3" xfId="1"/>
    <cellStyle name="Обычный 4" xfId="4"/>
  </cellStyles>
  <dxfs count="0"/>
  <tableStyles count="0" defaultTableStyle="TableStyleMedium2" defaultPivotStyle="PivotStyleLight16"/>
  <colors>
    <mruColors>
      <color rgb="FFFF9999"/>
      <color rgb="FFA30101"/>
      <color rgb="FFFF6D6D"/>
      <color rgb="FF00FF00"/>
      <color rgb="FF8FFF8F"/>
      <color rgb="FFAAFE22"/>
      <color rgb="FFCE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1828800</xdr:colOff>
      <xdr:row>2</xdr:row>
      <xdr:rowOff>238950</xdr:rowOff>
    </xdr:from>
    <xdr:to>
      <xdr:col>8</xdr:col>
      <xdr:colOff>673650</xdr:colOff>
      <xdr:row>3</xdr:row>
      <xdr:rowOff>495300</xdr:rowOff>
    </xdr:to>
    <xdr:sp macro="[0]!ДобавитьКонтрактП4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>
          <a:spLocks/>
        </xdr:cNvSpPr>
      </xdr:nvSpPr>
      <xdr:spPr>
        <a:xfrm>
          <a:off x="10972800" y="10009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 fPrintsWithSheet="0"/>
  </xdr:twoCellAnchor>
  <xdr:oneCellAnchor>
    <xdr:from>
      <xdr:col>6</xdr:col>
      <xdr:colOff>467591</xdr:colOff>
      <xdr:row>4</xdr:row>
      <xdr:rowOff>69273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/>
      </xdr:nvSpPr>
      <xdr:spPr>
        <a:xfrm>
          <a:off x="11585864" y="1697182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  <xdr:twoCellAnchor editAs="oneCell">
    <xdr:from>
      <xdr:col>16</xdr:col>
      <xdr:colOff>742950</xdr:colOff>
      <xdr:row>2</xdr:row>
      <xdr:rowOff>238950</xdr:rowOff>
    </xdr:from>
    <xdr:to>
      <xdr:col>20</xdr:col>
      <xdr:colOff>178350</xdr:colOff>
      <xdr:row>3</xdr:row>
      <xdr:rowOff>495300</xdr:rowOff>
    </xdr:to>
    <xdr:sp macro="[0]!ДобавитьППАктП4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/>
      </xdr:nvSpPr>
      <xdr:spPr>
        <a:xfrm>
          <a:off x="32061150" y="10009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oneCell">
    <xdr:from>
      <xdr:col>10</xdr:col>
      <xdr:colOff>877800</xdr:colOff>
      <xdr:row>3</xdr:row>
      <xdr:rowOff>0</xdr:rowOff>
    </xdr:from>
    <xdr:to>
      <xdr:col>13</xdr:col>
      <xdr:colOff>541800</xdr:colOff>
      <xdr:row>4</xdr:row>
      <xdr:rowOff>1080</xdr:rowOff>
    </xdr:to>
    <xdr:sp macro="[0]!УдалитьСтрокуП4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/>
      </xdr:nvSpPr>
      <xdr:spPr>
        <a:xfrm>
          <a:off x="20651700" y="1009650"/>
          <a:ext cx="5760000" cy="504000"/>
        </a:xfrm>
        <a:prstGeom prst="roundRect">
          <a:avLst/>
        </a:prstGeom>
        <a:gradFill flip="none" rotWithShape="1"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  <a:tileRect/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  <a:r>
            <a:rPr lang="ru-RU" sz="3600" b="1" baseline="0">
              <a:solidFill>
                <a:schemeClr val="tx1"/>
              </a:solidFill>
            </a:rPr>
            <a:t> 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9</xdr:col>
      <xdr:colOff>1440532</xdr:colOff>
      <xdr:row>3</xdr:row>
      <xdr:rowOff>6924</xdr:rowOff>
    </xdr:from>
    <xdr:to>
      <xdr:col>13</xdr:col>
      <xdr:colOff>303685</xdr:colOff>
      <xdr:row>3</xdr:row>
      <xdr:rowOff>501399</xdr:rowOff>
    </xdr:to>
    <xdr:sp macro="[0]!УдалитьСтрокуП5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20142776" y="1016574"/>
          <a:ext cx="5760000" cy="494475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6</xdr:col>
      <xdr:colOff>61478</xdr:colOff>
      <xdr:row>3</xdr:row>
      <xdr:rowOff>0</xdr:rowOff>
    </xdr:from>
    <xdr:to>
      <xdr:col>8</xdr:col>
      <xdr:colOff>643987</xdr:colOff>
      <xdr:row>3</xdr:row>
      <xdr:rowOff>484950</xdr:rowOff>
    </xdr:to>
    <xdr:sp macro="[0]!ДобавитьКонтрактП5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SpPr/>
      </xdr:nvSpPr>
      <xdr:spPr>
        <a:xfrm>
          <a:off x="11415278" y="99060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14</xdr:col>
      <xdr:colOff>1569670</xdr:colOff>
      <xdr:row>3</xdr:row>
      <xdr:rowOff>0</xdr:rowOff>
    </xdr:from>
    <xdr:to>
      <xdr:col>17</xdr:col>
      <xdr:colOff>1456668</xdr:colOff>
      <xdr:row>3</xdr:row>
      <xdr:rowOff>501534</xdr:rowOff>
    </xdr:to>
    <xdr:sp macro="[0]!ДобавитьППАктП5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SpPr/>
      </xdr:nvSpPr>
      <xdr:spPr>
        <a:xfrm>
          <a:off x="29054712" y="100965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12150</xdr:colOff>
      <xdr:row>3</xdr:row>
      <xdr:rowOff>0</xdr:rowOff>
    </xdr:from>
    <xdr:to>
      <xdr:col>6</xdr:col>
      <xdr:colOff>1771650</xdr:colOff>
      <xdr:row>3</xdr:row>
      <xdr:rowOff>499803</xdr:rowOff>
    </xdr:to>
    <xdr:sp macro="[0]!ДобавитьКонтрактSt93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6889200" y="1009650"/>
          <a:ext cx="5760000" cy="507423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16</xdr:col>
      <xdr:colOff>0</xdr:colOff>
      <xdr:row>3</xdr:row>
      <xdr:rowOff>0</xdr:rowOff>
    </xdr:from>
    <xdr:to>
      <xdr:col>19</xdr:col>
      <xdr:colOff>559350</xdr:colOff>
      <xdr:row>3</xdr:row>
      <xdr:rowOff>490104</xdr:rowOff>
    </xdr:to>
    <xdr:sp macro="[0]!ДобавитьППАктSt93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SpPr/>
      </xdr:nvSpPr>
      <xdr:spPr>
        <a:xfrm>
          <a:off x="30346650" y="990600"/>
          <a:ext cx="5760000" cy="509154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  <xdr:twoCellAnchor editAs="absolute">
    <xdr:from>
      <xdr:col>11</xdr:col>
      <xdr:colOff>6926</xdr:colOff>
      <xdr:row>3</xdr:row>
      <xdr:rowOff>0</xdr:rowOff>
    </xdr:from>
    <xdr:to>
      <xdr:col>13</xdr:col>
      <xdr:colOff>680576</xdr:colOff>
      <xdr:row>3</xdr:row>
      <xdr:rowOff>499802</xdr:rowOff>
    </xdr:to>
    <xdr:sp macro="[0]!УдалитьСтрокуSt93" textlink="">
      <xdr:nvSpPr>
        <xdr:cNvPr id="6" name="Скругленный прямоугольник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/>
      </xdr:nvSpPr>
      <xdr:spPr>
        <a:xfrm>
          <a:off x="20352326" y="1009650"/>
          <a:ext cx="5760000" cy="507422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564600</xdr:colOff>
      <xdr:row>3</xdr:row>
      <xdr:rowOff>29400</xdr:rowOff>
    </xdr:from>
    <xdr:to>
      <xdr:col>9</xdr:col>
      <xdr:colOff>1733550</xdr:colOff>
      <xdr:row>4</xdr:row>
      <xdr:rowOff>19050</xdr:rowOff>
    </xdr:to>
    <xdr:sp macro="[0]!ДобавитьКонтрактS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2909000" y="10390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13</xdr:col>
      <xdr:colOff>926550</xdr:colOff>
      <xdr:row>3</xdr:row>
      <xdr:rowOff>19050</xdr:rowOff>
    </xdr:from>
    <xdr:to>
      <xdr:col>16</xdr:col>
      <xdr:colOff>1295400</xdr:colOff>
      <xdr:row>4</xdr:row>
      <xdr:rowOff>8700</xdr:rowOff>
    </xdr:to>
    <xdr:sp macro="[0]!УдалитьСтрокуSEA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24110400" y="1028700"/>
          <a:ext cx="5760000" cy="504000"/>
        </a:xfrm>
        <a:prstGeom prst="roundRect">
          <a:avLst/>
        </a:prstGeom>
        <a:gradFill>
          <a:gsLst>
            <a:gs pos="61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2038350</xdr:colOff>
      <xdr:row>3</xdr:row>
      <xdr:rowOff>48450</xdr:rowOff>
    </xdr:from>
    <xdr:to>
      <xdr:col>23</xdr:col>
      <xdr:colOff>483150</xdr:colOff>
      <xdr:row>4</xdr:row>
      <xdr:rowOff>38100</xdr:rowOff>
    </xdr:to>
    <xdr:sp macro="[0]!ДобавитьППАктSEA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5128200" y="10581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1962150</xdr:colOff>
      <xdr:row>3</xdr:row>
      <xdr:rowOff>0</xdr:rowOff>
    </xdr:from>
    <xdr:to>
      <xdr:col>9</xdr:col>
      <xdr:colOff>883200</xdr:colOff>
      <xdr:row>3</xdr:row>
      <xdr:rowOff>504000</xdr:rowOff>
    </xdr:to>
    <xdr:sp macro="[0]!ДобавитьКонтрактNEA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12515850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1416626</xdr:colOff>
      <xdr:row>3</xdr:row>
      <xdr:rowOff>0</xdr:rowOff>
    </xdr:from>
    <xdr:to>
      <xdr:col>16</xdr:col>
      <xdr:colOff>70976</xdr:colOff>
      <xdr:row>3</xdr:row>
      <xdr:rowOff>504000</xdr:rowOff>
    </xdr:to>
    <xdr:sp macro="[0]!УдалитьСтрокуNEA" textlink="">
      <xdr:nvSpPr>
        <xdr:cNvPr id="5" name="Скругленный прямоугольник 4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SpPr/>
      </xdr:nvSpPr>
      <xdr:spPr>
        <a:xfrm>
          <a:off x="23343176" y="100965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/>
  </xdr:twoCellAnchor>
  <xdr:twoCellAnchor editAs="absolute">
    <xdr:from>
      <xdr:col>19</xdr:col>
      <xdr:colOff>819150</xdr:colOff>
      <xdr:row>2</xdr:row>
      <xdr:rowOff>209550</xdr:rowOff>
    </xdr:from>
    <xdr:to>
      <xdr:col>22</xdr:col>
      <xdr:colOff>864150</xdr:colOff>
      <xdr:row>3</xdr:row>
      <xdr:rowOff>465900</xdr:rowOff>
    </xdr:to>
    <xdr:sp macro="[0]!ДобавитьППАктNEA" textlink="">
      <xdr:nvSpPr>
        <xdr:cNvPr id="7" name="Скругленный прямоугольник 6">
          <a:extLst>
            <a:ext uri="{FF2B5EF4-FFF2-40B4-BE49-F238E27FC236}">
              <a16:creationId xmlns:a16="http://schemas.microsoft.com/office/drawing/2014/main" xmlns="" id="{00000000-0008-0000-0500-000007000000}"/>
            </a:ext>
          </a:extLst>
        </xdr:cNvPr>
        <xdr:cNvSpPr/>
      </xdr:nvSpPr>
      <xdr:spPr>
        <a:xfrm>
          <a:off x="34709100" y="97155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880628</xdr:colOff>
      <xdr:row>3</xdr:row>
      <xdr:rowOff>0</xdr:rowOff>
    </xdr:from>
    <xdr:to>
      <xdr:col>8</xdr:col>
      <xdr:colOff>1420928</xdr:colOff>
      <xdr:row>4</xdr:row>
      <xdr:rowOff>1080</xdr:rowOff>
    </xdr:to>
    <xdr:sp macro="[0]!ДобавитьКонтрактIKZ" textlink="">
      <xdr:nvSpPr>
        <xdr:cNvPr id="2" name="Скругленный прямоугольник 1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SpPr/>
      </xdr:nvSpPr>
      <xdr:spPr>
        <a:xfrm>
          <a:off x="11358128" y="1009650"/>
          <a:ext cx="5760000" cy="504000"/>
        </a:xfrm>
        <a:prstGeom prst="roundRect">
          <a:avLst/>
        </a:prstGeom>
        <a:gradFill>
          <a:gsLst>
            <a:gs pos="79000">
              <a:srgbClr val="92D050"/>
            </a:gs>
            <a:gs pos="100000">
              <a:schemeClr val="accent3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Добавить</a:t>
          </a:r>
          <a:r>
            <a:rPr lang="ru-RU" sz="3600" b="1" baseline="0">
              <a:solidFill>
                <a:schemeClr val="tx1"/>
              </a:solidFill>
            </a:rPr>
            <a:t> контракт</a:t>
          </a:r>
          <a:endParaRPr lang="ru-RU" sz="3600" b="1">
            <a:solidFill>
              <a:schemeClr val="tx1"/>
            </a:solidFill>
          </a:endParaRPr>
        </a:p>
      </xdr:txBody>
    </xdr:sp>
    <xdr:clientData/>
  </xdr:twoCellAnchor>
  <xdr:twoCellAnchor editAs="absolute">
    <xdr:from>
      <xdr:col>12</xdr:col>
      <xdr:colOff>1409700</xdr:colOff>
      <xdr:row>3</xdr:row>
      <xdr:rowOff>10350</xdr:rowOff>
    </xdr:from>
    <xdr:to>
      <xdr:col>15</xdr:col>
      <xdr:colOff>1877610</xdr:colOff>
      <xdr:row>4</xdr:row>
      <xdr:rowOff>0</xdr:rowOff>
    </xdr:to>
    <xdr:sp macro="[0]!УдалитьСтрокуIKZ" textlink="">
      <xdr:nvSpPr>
        <xdr:cNvPr id="3" name="Скругленный прямоугольник 2"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SpPr/>
      </xdr:nvSpPr>
      <xdr:spPr>
        <a:xfrm>
          <a:off x="23260050" y="1020000"/>
          <a:ext cx="5760000" cy="504000"/>
        </a:xfrm>
        <a:prstGeom prst="roundRect">
          <a:avLst/>
        </a:prstGeom>
        <a:gradFill>
          <a:gsLst>
            <a:gs pos="79000">
              <a:srgbClr val="FF6D6D"/>
            </a:gs>
            <a:gs pos="100000">
              <a:srgbClr val="A30101"/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600" b="1">
              <a:solidFill>
                <a:schemeClr val="tx1"/>
              </a:solidFill>
            </a:rPr>
            <a:t>Удалить строку / контракт</a:t>
          </a:r>
        </a:p>
      </xdr:txBody>
    </xdr:sp>
    <xdr:clientData fPrintsWithSheet="0"/>
  </xdr:twoCellAnchor>
  <xdr:twoCellAnchor editAs="absolute">
    <xdr:from>
      <xdr:col>19</xdr:col>
      <xdr:colOff>785580</xdr:colOff>
      <xdr:row>3</xdr:row>
      <xdr:rowOff>10350</xdr:rowOff>
    </xdr:from>
    <xdr:to>
      <xdr:col>22</xdr:col>
      <xdr:colOff>868680</xdr:colOff>
      <xdr:row>4</xdr:row>
      <xdr:rowOff>0</xdr:rowOff>
    </xdr:to>
    <xdr:sp macro="[0]!ДобавитьППАктIKZ" textlink="">
      <xdr:nvSpPr>
        <xdr:cNvPr id="4" name="Скругленный прямоугольник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34606950" y="1020000"/>
          <a:ext cx="5760000" cy="504000"/>
        </a:xfrm>
        <a:prstGeom prst="roundRect">
          <a:avLst/>
        </a:prstGeom>
        <a:gradFill>
          <a:gsLst>
            <a:gs pos="79000">
              <a:srgbClr val="FFC000"/>
            </a:gs>
            <a:gs pos="100000">
              <a:schemeClr val="accent6">
                <a:lumMod val="50000"/>
              </a:schemeClr>
            </a:gs>
          </a:gsLst>
          <a:path path="shape">
            <a:fillToRect l="50000" t="50000" r="50000" b="50000"/>
          </a:path>
        </a:gradFill>
        <a:ln w="317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rtlCol="0" anchor="ctr"/>
        <a:lstStyle/>
        <a:p>
          <a:pPr algn="ctr"/>
          <a:r>
            <a:rPr lang="ru-RU" sz="3200" b="1">
              <a:solidFill>
                <a:schemeClr val="tx1"/>
              </a:solidFill>
            </a:rPr>
            <a:t>Добавить Акт/ПП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FFFF00"/>
  </sheetPr>
  <dimension ref="A1:W20"/>
  <sheetViews>
    <sheetView showGridLines="0" tabSelected="1" zoomScale="70" zoomScaleNormal="70" workbookViewId="0">
      <selection activeCell="M4" sqref="M4:N4"/>
    </sheetView>
  </sheetViews>
  <sheetFormatPr defaultColWidth="0" defaultRowHeight="15" x14ac:dyDescent="0.25"/>
  <cols>
    <col min="1" max="2" width="9.140625" style="8" customWidth="1"/>
    <col min="3" max="3" width="25.28515625" style="8" customWidth="1"/>
    <col min="4" max="5" width="9.140625" style="8" customWidth="1"/>
    <col min="6" max="6" width="11.7109375" style="8" customWidth="1"/>
    <col min="7" max="7" width="19" style="8" customWidth="1"/>
    <col min="8" max="8" width="6.5703125" style="8" customWidth="1"/>
    <col min="9" max="9" width="5.5703125" style="8" customWidth="1"/>
    <col min="10" max="10" width="15" style="8" customWidth="1"/>
    <col min="11" max="11" width="14.85546875" style="8" customWidth="1"/>
    <col min="12" max="12" width="21.28515625" style="8" customWidth="1"/>
    <col min="13" max="13" width="10.140625" style="8" customWidth="1"/>
    <col min="14" max="14" width="17.140625" style="8" bestFit="1" customWidth="1"/>
    <col min="15" max="22" width="9.140625" style="8" hidden="1" customWidth="1"/>
    <col min="23" max="23" width="30.7109375" style="8" hidden="1" customWidth="1"/>
    <col min="24" max="16384" width="9.140625" style="8" hidden="1"/>
  </cols>
  <sheetData>
    <row r="1" spans="1:14" ht="27" customHeight="1" thickBot="1" x14ac:dyDescent="0.3">
      <c r="A1" s="304" t="s">
        <v>141</v>
      </c>
      <c r="B1" s="305"/>
      <c r="C1" s="305"/>
      <c r="D1" s="305"/>
      <c r="E1" s="304" t="s">
        <v>524</v>
      </c>
      <c r="F1" s="305"/>
      <c r="G1" s="305"/>
      <c r="H1" s="305"/>
      <c r="I1" s="305"/>
      <c r="J1" s="305"/>
      <c r="K1" s="305"/>
      <c r="L1" s="305"/>
      <c r="M1" s="305"/>
      <c r="N1" s="306"/>
    </row>
    <row r="3" spans="1:14" thickBot="1" x14ac:dyDescent="0.35">
      <c r="I3" s="16"/>
      <c r="J3" s="16"/>
      <c r="K3" s="16"/>
      <c r="L3" s="16"/>
      <c r="M3" s="16"/>
      <c r="N3" s="16"/>
    </row>
    <row r="4" spans="1:14" ht="32.25" customHeight="1" thickBot="1" x14ac:dyDescent="0.3">
      <c r="A4" s="280" t="s">
        <v>25</v>
      </c>
      <c r="B4" s="281"/>
      <c r="C4" s="4">
        <v>9645330.75</v>
      </c>
      <c r="D4" s="5"/>
      <c r="E4" s="282" t="s">
        <v>140</v>
      </c>
      <c r="F4" s="283"/>
      <c r="G4" s="284"/>
      <c r="H4" s="285">
        <v>2000000</v>
      </c>
      <c r="I4" s="286"/>
      <c r="J4" s="287"/>
      <c r="K4" s="17"/>
      <c r="L4" s="81" t="s">
        <v>55</v>
      </c>
      <c r="M4" s="282">
        <v>4822665.37</v>
      </c>
      <c r="N4" s="284"/>
    </row>
    <row r="5" spans="1:14" ht="30.75" customHeight="1" thickBot="1" x14ac:dyDescent="0.3">
      <c r="A5" s="280" t="s">
        <v>26</v>
      </c>
      <c r="B5" s="281"/>
      <c r="C5" s="6">
        <f>C4-G15+J15</f>
        <v>1538933.5999999992</v>
      </c>
      <c r="D5" s="5"/>
      <c r="E5" s="282" t="s">
        <v>53</v>
      </c>
      <c r="F5" s="283"/>
      <c r="G5" s="284"/>
      <c r="H5" s="272">
        <f>H4-G12</f>
        <v>1066559.9300000002</v>
      </c>
      <c r="I5" s="273"/>
      <c r="J5" s="274"/>
      <c r="K5" s="17"/>
      <c r="L5" s="81" t="s">
        <v>54</v>
      </c>
      <c r="M5" s="275">
        <f>M4-G13</f>
        <v>314247.69000000041</v>
      </c>
      <c r="N5" s="276"/>
    </row>
    <row r="6" spans="1:14" ht="14.45" x14ac:dyDescent="0.3">
      <c r="C6" s="7"/>
      <c r="D6" s="9"/>
      <c r="E6" s="9"/>
      <c r="F6" s="9"/>
      <c r="G6" s="9"/>
      <c r="H6" s="9"/>
      <c r="I6" s="9"/>
      <c r="J6" s="9"/>
      <c r="K6" s="9"/>
      <c r="L6" s="9"/>
    </row>
    <row r="7" spans="1:14" thickBot="1" x14ac:dyDescent="0.35"/>
    <row r="8" spans="1:14" ht="72" customHeight="1" thickBot="1" x14ac:dyDescent="0.3">
      <c r="A8" s="288" t="s">
        <v>27</v>
      </c>
      <c r="B8" s="289"/>
      <c r="C8" s="290"/>
      <c r="D8" s="288" t="s">
        <v>28</v>
      </c>
      <c r="E8" s="289"/>
      <c r="F8" s="290"/>
      <c r="G8" s="291" t="s">
        <v>29</v>
      </c>
      <c r="H8" s="292"/>
      <c r="I8" s="293"/>
      <c r="J8" s="291" t="s">
        <v>142</v>
      </c>
      <c r="K8" s="292"/>
      <c r="L8" s="293"/>
      <c r="M8" s="288" t="s">
        <v>30</v>
      </c>
      <c r="N8" s="290"/>
    </row>
    <row r="9" spans="1:14" ht="41.25" customHeight="1" thickBot="1" x14ac:dyDescent="0.3">
      <c r="A9" s="294" t="s">
        <v>31</v>
      </c>
      <c r="B9" s="295"/>
      <c r="C9" s="296"/>
      <c r="D9" s="297">
        <f>'Состоявшиеся аукционы'!G2</f>
        <v>0</v>
      </c>
      <c r="E9" s="297"/>
      <c r="F9" s="297"/>
      <c r="G9" s="297">
        <f>'Состоявшиеся аукционы'!Q2</f>
        <v>0</v>
      </c>
      <c r="H9" s="297"/>
      <c r="I9" s="297"/>
      <c r="J9" s="277">
        <f>'Состоявшиеся аукционы'!AB2</f>
        <v>0</v>
      </c>
      <c r="K9" s="279"/>
      <c r="L9" s="278"/>
      <c r="M9" s="297">
        <f t="shared" ref="M9:M15" si="0">D9-G9</f>
        <v>0</v>
      </c>
      <c r="N9" s="297"/>
    </row>
    <row r="10" spans="1:14" ht="78.75" customHeight="1" thickBot="1" x14ac:dyDescent="0.3">
      <c r="A10" s="294" t="s">
        <v>49</v>
      </c>
      <c r="B10" s="295"/>
      <c r="C10" s="296"/>
      <c r="D10" s="297">
        <f>'Несостоявшиеся аукционы'!G2</f>
        <v>0</v>
      </c>
      <c r="E10" s="297"/>
      <c r="F10" s="297"/>
      <c r="G10" s="297">
        <f>'Несостоявшиеся аукционы'!Q2</f>
        <v>0</v>
      </c>
      <c r="H10" s="297"/>
      <c r="I10" s="297"/>
      <c r="J10" s="277">
        <f>'Несостоявшиеся аукционы'!AB2</f>
        <v>0</v>
      </c>
      <c r="K10" s="279"/>
      <c r="L10" s="278"/>
      <c r="M10" s="297">
        <f t="shared" si="0"/>
        <v>0</v>
      </c>
      <c r="N10" s="297"/>
    </row>
    <row r="11" spans="1:14" ht="40.5" customHeight="1" thickBot="1" x14ac:dyDescent="0.3">
      <c r="A11" s="294" t="s">
        <v>83</v>
      </c>
      <c r="B11" s="295"/>
      <c r="C11" s="296"/>
      <c r="D11" s="277">
        <f>'Иные конкурентные закупки'!G2</f>
        <v>1367088</v>
      </c>
      <c r="E11" s="279"/>
      <c r="F11" s="278"/>
      <c r="G11" s="277">
        <f>'Иные конкурентные закупки'!Q2</f>
        <v>1241120.1600000001</v>
      </c>
      <c r="H11" s="279"/>
      <c r="I11" s="278"/>
      <c r="J11" s="277">
        <f>'Иные конкурентные закупки'!AB2</f>
        <v>8112</v>
      </c>
      <c r="K11" s="279"/>
      <c r="L11" s="278"/>
      <c r="M11" s="277">
        <f t="shared" si="0"/>
        <v>125967.83999999985</v>
      </c>
      <c r="N11" s="278"/>
    </row>
    <row r="12" spans="1:14" ht="54.75" customHeight="1" thickBot="1" x14ac:dyDescent="0.3">
      <c r="A12" s="301" t="s">
        <v>50</v>
      </c>
      <c r="B12" s="302"/>
      <c r="C12" s="303"/>
      <c r="D12" s="297">
        <f>'Ед. поставщик п.4 ч.1'!H2</f>
        <v>933440.07</v>
      </c>
      <c r="E12" s="297"/>
      <c r="F12" s="297"/>
      <c r="G12" s="297">
        <f>D12</f>
        <v>933440.07</v>
      </c>
      <c r="H12" s="297"/>
      <c r="I12" s="297"/>
      <c r="J12" s="277">
        <f>'Ед. поставщик п.4 ч.1'!V2</f>
        <v>108591.51999999999</v>
      </c>
      <c r="K12" s="279"/>
      <c r="L12" s="278"/>
      <c r="M12" s="297">
        <f t="shared" si="0"/>
        <v>0</v>
      </c>
      <c r="N12" s="297"/>
    </row>
    <row r="13" spans="1:14" ht="45.75" customHeight="1" thickBot="1" x14ac:dyDescent="0.3">
      <c r="A13" s="301" t="s">
        <v>51</v>
      </c>
      <c r="B13" s="302"/>
      <c r="C13" s="303"/>
      <c r="D13" s="297">
        <f>'Ед. поставщик п.5 ч.1'!H2</f>
        <v>4508417.68</v>
      </c>
      <c r="E13" s="297"/>
      <c r="F13" s="297"/>
      <c r="G13" s="297">
        <f>D13</f>
        <v>4508417.68</v>
      </c>
      <c r="H13" s="297"/>
      <c r="I13" s="297"/>
      <c r="J13" s="277">
        <f>'Ед. поставщик п.5 ч.1'!V2</f>
        <v>349657.29</v>
      </c>
      <c r="K13" s="279"/>
      <c r="L13" s="278"/>
      <c r="M13" s="297">
        <f t="shared" si="0"/>
        <v>0</v>
      </c>
      <c r="N13" s="297"/>
    </row>
    <row r="14" spans="1:14" ht="45.75" customHeight="1" thickBot="1" x14ac:dyDescent="0.3">
      <c r="A14" s="319" t="s">
        <v>52</v>
      </c>
      <c r="B14" s="320"/>
      <c r="C14" s="321"/>
      <c r="D14" s="277">
        <f>'Ед.поставщик за искл. п.4,5 ч.1'!G2</f>
        <v>1889780.05</v>
      </c>
      <c r="E14" s="279"/>
      <c r="F14" s="278"/>
      <c r="G14" s="277">
        <f>D14</f>
        <v>1889780.05</v>
      </c>
      <c r="H14" s="279"/>
      <c r="I14" s="278"/>
      <c r="J14" s="277">
        <f>'Ед.поставщик за искл. п.4,5 ч.1'!T2</f>
        <v>0</v>
      </c>
      <c r="K14" s="279"/>
      <c r="L14" s="278"/>
      <c r="M14" s="297">
        <f t="shared" si="0"/>
        <v>0</v>
      </c>
      <c r="N14" s="297"/>
    </row>
    <row r="15" spans="1:14" ht="21" thickBot="1" x14ac:dyDescent="0.3">
      <c r="A15" s="298" t="s">
        <v>143</v>
      </c>
      <c r="B15" s="299"/>
      <c r="C15" s="300"/>
      <c r="D15" s="297">
        <f>SUM(D9:D14)</f>
        <v>8698725.8000000007</v>
      </c>
      <c r="E15" s="297"/>
      <c r="F15" s="297"/>
      <c r="G15" s="277">
        <f>SUM(G9:G14)</f>
        <v>8572757.9600000009</v>
      </c>
      <c r="H15" s="279"/>
      <c r="I15" s="278"/>
      <c r="J15" s="277">
        <f>SUM(J9:J14)</f>
        <v>466360.80999999994</v>
      </c>
      <c r="K15" s="279"/>
      <c r="L15" s="278"/>
      <c r="M15" s="297">
        <f t="shared" si="0"/>
        <v>125967.83999999985</v>
      </c>
      <c r="N15" s="297"/>
    </row>
    <row r="18" spans="1:12" thickBot="1" x14ac:dyDescent="0.35"/>
    <row r="19" spans="1:12" ht="23.25" customHeight="1" x14ac:dyDescent="0.25">
      <c r="A19" s="307" t="s">
        <v>35</v>
      </c>
      <c r="B19" s="308"/>
      <c r="C19" s="309"/>
      <c r="D19" s="313">
        <f>'Ед. поставщик п.4 ч.1'!P2+'Ед. поставщик п.5 ч.1'!P2+'Ед.поставщик за искл. п.4,5 ч.1'!N2+'Состоявшиеся аукционы'!V2+'Несостоявшиеся аукционы'!V2+'Иные конкурентные закупки'!V2</f>
        <v>5869678.370000001</v>
      </c>
      <c r="E19" s="314"/>
      <c r="F19" s="314"/>
      <c r="G19" s="315"/>
      <c r="I19" s="15"/>
      <c r="J19" s="15"/>
      <c r="K19" s="15"/>
      <c r="L19" s="15"/>
    </row>
    <row r="20" spans="1:12" ht="24" customHeight="1" thickBot="1" x14ac:dyDescent="0.3">
      <c r="A20" s="310"/>
      <c r="B20" s="311"/>
      <c r="C20" s="312"/>
      <c r="D20" s="316"/>
      <c r="E20" s="317"/>
      <c r="F20" s="317"/>
      <c r="G20" s="318"/>
      <c r="I20" s="15"/>
      <c r="J20" s="15"/>
      <c r="K20" s="15"/>
      <c r="L20" s="15"/>
    </row>
  </sheetData>
  <mergeCells count="52">
    <mergeCell ref="A1:D1"/>
    <mergeCell ref="E1:N1"/>
    <mergeCell ref="A19:C20"/>
    <mergeCell ref="D19:G20"/>
    <mergeCell ref="A14:C14"/>
    <mergeCell ref="D14:F14"/>
    <mergeCell ref="G14:I14"/>
    <mergeCell ref="M12:N12"/>
    <mergeCell ref="J12:L12"/>
    <mergeCell ref="A11:C11"/>
    <mergeCell ref="D11:F11"/>
    <mergeCell ref="G11:I11"/>
    <mergeCell ref="G12:I12"/>
    <mergeCell ref="A12:C12"/>
    <mergeCell ref="D12:F12"/>
    <mergeCell ref="M13:N13"/>
    <mergeCell ref="J13:L13"/>
    <mergeCell ref="A15:C15"/>
    <mergeCell ref="D15:F15"/>
    <mergeCell ref="G15:I15"/>
    <mergeCell ref="M15:N15"/>
    <mergeCell ref="J15:L15"/>
    <mergeCell ref="A13:C13"/>
    <mergeCell ref="D13:F13"/>
    <mergeCell ref="G13:I13"/>
    <mergeCell ref="J14:L14"/>
    <mergeCell ref="M14:N14"/>
    <mergeCell ref="D10:F10"/>
    <mergeCell ref="G10:I10"/>
    <mergeCell ref="M10:N10"/>
    <mergeCell ref="J10:L10"/>
    <mergeCell ref="A9:C9"/>
    <mergeCell ref="D9:F9"/>
    <mergeCell ref="G9:I9"/>
    <mergeCell ref="M9:N9"/>
    <mergeCell ref="J9:L9"/>
    <mergeCell ref="H5:J5"/>
    <mergeCell ref="M5:N5"/>
    <mergeCell ref="M11:N11"/>
    <mergeCell ref="J11:L11"/>
    <mergeCell ref="A4:B4"/>
    <mergeCell ref="E4:G4"/>
    <mergeCell ref="H4:J4"/>
    <mergeCell ref="M4:N4"/>
    <mergeCell ref="A5:B5"/>
    <mergeCell ref="A8:C8"/>
    <mergeCell ref="D8:F8"/>
    <mergeCell ref="G8:I8"/>
    <mergeCell ref="M8:N8"/>
    <mergeCell ref="J8:L8"/>
    <mergeCell ref="E5:G5"/>
    <mergeCell ref="A10:C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rgb="FFFF0000"/>
    <pageSetUpPr fitToPage="1"/>
  </sheetPr>
  <dimension ref="A1:X97"/>
  <sheetViews>
    <sheetView showGridLines="0" topLeftCell="D1" zoomScale="50" zoomScaleNormal="50" workbookViewId="0">
      <pane ySplit="8" topLeftCell="A95" activePane="bottomLeft" state="frozen"/>
      <selection activeCell="I1" sqref="I1"/>
      <selection pane="bottomLeft" activeCell="I96" sqref="I96"/>
    </sheetView>
  </sheetViews>
  <sheetFormatPr defaultColWidth="0" defaultRowHeight="18.75" x14ac:dyDescent="0.25"/>
  <cols>
    <col min="1" max="1" width="9.140625" style="3" customWidth="1"/>
    <col min="2" max="3" width="35" style="3" customWidth="1"/>
    <col min="4" max="4" width="32.85546875" style="3" customWidth="1"/>
    <col min="5" max="5" width="24.7109375" style="11" customWidth="1"/>
    <col min="6" max="6" width="27.5703125" style="3" customWidth="1"/>
    <col min="7" max="7" width="49.140625" style="3" customWidth="1"/>
    <col min="8" max="8" width="26.85546875" style="10" customWidth="1"/>
    <col min="9" max="9" width="21.85546875" style="10" customWidth="1"/>
    <col min="10" max="10" width="33.5703125" style="3" customWidth="1"/>
    <col min="11" max="12" width="28.28515625" style="3" customWidth="1"/>
    <col min="13" max="13" width="34.85546875" style="3" customWidth="1"/>
    <col min="14" max="14" width="26.85546875" style="11" customWidth="1"/>
    <col min="15" max="15" width="28.85546875" style="3" customWidth="1"/>
    <col min="16" max="16" width="24" style="26" customWidth="1"/>
    <col min="17" max="17" width="24" style="11" bestFit="1" customWidth="1"/>
    <col min="18" max="18" width="23.42578125" style="2" customWidth="1"/>
    <col min="19" max="20" width="23.7109375" style="2" customWidth="1"/>
    <col min="21" max="21" width="24.5703125" style="11" customWidth="1"/>
    <col min="22" max="22" width="25.5703125" style="26" customWidth="1"/>
    <col min="23" max="23" width="17.71093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A2" s="68"/>
      <c r="B2" s="68"/>
      <c r="C2" s="68"/>
      <c r="D2" s="68"/>
      <c r="E2" s="68"/>
      <c r="F2" s="10"/>
      <c r="G2" s="83" t="s">
        <v>24</v>
      </c>
      <c r="H2" s="80">
        <f>SUM(H9:H9999)</f>
        <v>933440.07</v>
      </c>
      <c r="K2" s="390"/>
      <c r="L2" s="390"/>
      <c r="M2" s="390"/>
      <c r="N2" s="391" t="s">
        <v>137</v>
      </c>
      <c r="O2" s="393"/>
      <c r="P2" s="69">
        <f>SUM(P9:P9999)</f>
        <v>699923.2</v>
      </c>
      <c r="R2" s="68"/>
      <c r="S2" s="391" t="s">
        <v>45</v>
      </c>
      <c r="T2" s="392"/>
      <c r="U2" s="393"/>
      <c r="V2" s="70">
        <f>SUM(V9:V9999)</f>
        <v>108591.51999999999</v>
      </c>
    </row>
    <row r="3" spans="1:24" ht="18" x14ac:dyDescent="0.3">
      <c r="A3" s="390"/>
      <c r="B3" s="390"/>
      <c r="C3" s="390"/>
      <c r="D3" s="390"/>
      <c r="E3" s="390"/>
      <c r="N3" s="68"/>
    </row>
    <row r="4" spans="1:24" ht="39.950000000000003" customHeight="1" x14ac:dyDescent="0.3">
      <c r="J4" s="394"/>
      <c r="K4" s="394"/>
      <c r="M4" s="394"/>
      <c r="N4" s="394"/>
      <c r="O4" s="394"/>
      <c r="P4" s="394"/>
    </row>
    <row r="6" spans="1:24" ht="159" customHeight="1" x14ac:dyDescent="0.25">
      <c r="A6" s="51" t="s">
        <v>8</v>
      </c>
      <c r="B6" s="51" t="s">
        <v>47</v>
      </c>
      <c r="C6" s="51" t="s">
        <v>145</v>
      </c>
      <c r="D6" s="51" t="s">
        <v>10</v>
      </c>
      <c r="E6" s="50" t="s">
        <v>1</v>
      </c>
      <c r="F6" s="51" t="s">
        <v>2</v>
      </c>
      <c r="G6" s="51" t="s">
        <v>3</v>
      </c>
      <c r="H6" s="53" t="s">
        <v>4</v>
      </c>
      <c r="I6" s="53" t="s">
        <v>22</v>
      </c>
      <c r="J6" s="51" t="s">
        <v>46</v>
      </c>
      <c r="K6" s="51" t="s">
        <v>5</v>
      </c>
      <c r="L6" s="51" t="s">
        <v>82</v>
      </c>
      <c r="M6" s="51" t="s">
        <v>44</v>
      </c>
      <c r="N6" s="50" t="s">
        <v>7</v>
      </c>
      <c r="O6" s="51" t="s">
        <v>6</v>
      </c>
      <c r="P6" s="52" t="s">
        <v>23</v>
      </c>
      <c r="Q6" s="50" t="s">
        <v>9</v>
      </c>
      <c r="R6" s="49" t="s">
        <v>40</v>
      </c>
      <c r="S6" s="49" t="s">
        <v>103</v>
      </c>
      <c r="T6" s="49" t="s">
        <v>104</v>
      </c>
      <c r="U6" s="50" t="s">
        <v>41</v>
      </c>
      <c r="V6" s="52" t="s">
        <v>105</v>
      </c>
      <c r="W6" s="49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93.75" x14ac:dyDescent="0.25">
      <c r="A8" s="54">
        <v>1</v>
      </c>
      <c r="B8" s="54" t="s">
        <v>56</v>
      </c>
      <c r="C8" s="54"/>
      <c r="D8" s="54" t="s">
        <v>58</v>
      </c>
      <c r="E8" s="55" t="s">
        <v>57</v>
      </c>
      <c r="F8" s="55" t="s">
        <v>107</v>
      </c>
      <c r="G8" s="54" t="s">
        <v>59</v>
      </c>
      <c r="H8" s="61">
        <v>20000</v>
      </c>
      <c r="I8" s="61">
        <f>H8-P8</f>
        <v>0</v>
      </c>
      <c r="J8" s="54" t="s">
        <v>60</v>
      </c>
      <c r="K8" s="54" t="s">
        <v>61</v>
      </c>
      <c r="L8" s="54"/>
      <c r="M8" s="54" t="s">
        <v>62</v>
      </c>
      <c r="N8" s="55">
        <v>43840</v>
      </c>
      <c r="O8" s="54" t="s">
        <v>144</v>
      </c>
      <c r="P8" s="84">
        <v>20000</v>
      </c>
      <c r="Q8" s="55">
        <v>43840</v>
      </c>
      <c r="R8" s="54"/>
      <c r="S8" s="61"/>
      <c r="T8" s="61"/>
      <c r="U8" s="55"/>
      <c r="V8" s="61"/>
      <c r="W8" s="57" t="s">
        <v>64</v>
      </c>
    </row>
    <row r="9" spans="1:24" s="85" customFormat="1" ht="93.75" x14ac:dyDescent="0.25">
      <c r="A9" s="87">
        <v>1</v>
      </c>
      <c r="B9" s="88" t="s">
        <v>56</v>
      </c>
      <c r="C9" s="88"/>
      <c r="D9" s="88"/>
      <c r="E9" s="94" t="s">
        <v>210</v>
      </c>
      <c r="F9" s="93" t="s">
        <v>211</v>
      </c>
      <c r="G9" s="88" t="s">
        <v>212</v>
      </c>
      <c r="H9" s="90">
        <v>1000</v>
      </c>
      <c r="I9" s="91">
        <f>IF(X9 = 49, H9 + SUM(S9:S9) - SUM(T9:T9) - SUM(P9:P9) - V9,0)</f>
        <v>920.44</v>
      </c>
      <c r="J9" s="88" t="s">
        <v>213</v>
      </c>
      <c r="K9" s="88" t="s">
        <v>157</v>
      </c>
      <c r="L9" s="88"/>
      <c r="M9" s="88" t="s">
        <v>214</v>
      </c>
      <c r="N9" s="93" t="s">
        <v>562</v>
      </c>
      <c r="O9" s="86" t="s">
        <v>215</v>
      </c>
      <c r="P9" s="90">
        <v>79.56</v>
      </c>
      <c r="Q9" s="89" t="s">
        <v>564</v>
      </c>
      <c r="R9" s="88"/>
      <c r="S9" s="90"/>
      <c r="T9" s="90"/>
      <c r="U9" s="90"/>
      <c r="V9" s="95"/>
      <c r="W9" s="92"/>
      <c r="X9" s="85">
        <v>49</v>
      </c>
    </row>
    <row r="10" spans="1:24" s="85" customFormat="1" ht="72" customHeight="1" x14ac:dyDescent="0.25">
      <c r="A10" s="395">
        <v>2</v>
      </c>
      <c r="B10" s="375" t="s">
        <v>56</v>
      </c>
      <c r="C10" s="375"/>
      <c r="D10" s="375"/>
      <c r="E10" s="415" t="s">
        <v>158</v>
      </c>
      <c r="F10" s="381" t="s">
        <v>211</v>
      </c>
      <c r="G10" s="375" t="s">
        <v>212</v>
      </c>
      <c r="H10" s="384">
        <v>9400</v>
      </c>
      <c r="I10" s="387">
        <f>IF(X10 = 50, H10 + SUM(S10:S15) - SUM(T10:T15) - SUM(P10:P15) - V10,0)</f>
        <v>4380.91</v>
      </c>
      <c r="J10" s="375" t="s">
        <v>213</v>
      </c>
      <c r="K10" s="375" t="s">
        <v>157</v>
      </c>
      <c r="L10" s="375"/>
      <c r="M10" s="375" t="s">
        <v>214</v>
      </c>
      <c r="N10" s="257" t="s">
        <v>307</v>
      </c>
      <c r="O10" s="381" t="s">
        <v>215</v>
      </c>
      <c r="P10" s="253">
        <v>867.14</v>
      </c>
      <c r="Q10" s="252" t="s">
        <v>310</v>
      </c>
      <c r="R10" s="251"/>
      <c r="S10" s="253"/>
      <c r="T10" s="253"/>
      <c r="U10" s="384"/>
      <c r="V10" s="369"/>
      <c r="W10" s="372"/>
      <c r="X10" s="85">
        <v>50</v>
      </c>
    </row>
    <row r="11" spans="1:24" x14ac:dyDescent="0.25">
      <c r="A11" s="396"/>
      <c r="B11" s="376"/>
      <c r="C11" s="376"/>
      <c r="D11" s="376"/>
      <c r="E11" s="416"/>
      <c r="F11" s="382"/>
      <c r="G11" s="376"/>
      <c r="H11" s="385"/>
      <c r="I11" s="388"/>
      <c r="J11" s="376"/>
      <c r="K11" s="376"/>
      <c r="L11" s="376"/>
      <c r="M11" s="376"/>
      <c r="N11" s="262" t="s">
        <v>345</v>
      </c>
      <c r="O11" s="382"/>
      <c r="P11" s="259">
        <v>858.19</v>
      </c>
      <c r="Q11" s="260" t="s">
        <v>348</v>
      </c>
      <c r="R11" s="261"/>
      <c r="S11" s="259"/>
      <c r="T11" s="259"/>
      <c r="U11" s="385"/>
      <c r="V11" s="370"/>
      <c r="W11" s="373"/>
      <c r="X11" s="2">
        <v>50</v>
      </c>
    </row>
    <row r="12" spans="1:24" x14ac:dyDescent="0.25">
      <c r="A12" s="396"/>
      <c r="B12" s="376"/>
      <c r="C12" s="376"/>
      <c r="D12" s="376"/>
      <c r="E12" s="416"/>
      <c r="F12" s="382"/>
      <c r="G12" s="376"/>
      <c r="H12" s="385"/>
      <c r="I12" s="388"/>
      <c r="J12" s="376"/>
      <c r="K12" s="376"/>
      <c r="L12" s="376"/>
      <c r="M12" s="376"/>
      <c r="N12" s="262" t="s">
        <v>371</v>
      </c>
      <c r="O12" s="382"/>
      <c r="P12" s="259">
        <v>825.3</v>
      </c>
      <c r="Q12" s="260" t="s">
        <v>376</v>
      </c>
      <c r="R12" s="261"/>
      <c r="S12" s="259"/>
      <c r="T12" s="259"/>
      <c r="U12" s="385"/>
      <c r="V12" s="370"/>
      <c r="W12" s="373"/>
      <c r="X12" s="2">
        <v>50</v>
      </c>
    </row>
    <row r="13" spans="1:24" x14ac:dyDescent="0.25">
      <c r="A13" s="396"/>
      <c r="B13" s="376"/>
      <c r="C13" s="376"/>
      <c r="D13" s="376"/>
      <c r="E13" s="416"/>
      <c r="F13" s="382"/>
      <c r="G13" s="376"/>
      <c r="H13" s="385"/>
      <c r="I13" s="388"/>
      <c r="J13" s="376"/>
      <c r="K13" s="376"/>
      <c r="L13" s="376"/>
      <c r="M13" s="376"/>
      <c r="N13" s="262" t="s">
        <v>460</v>
      </c>
      <c r="O13" s="382"/>
      <c r="P13" s="259">
        <v>846.54</v>
      </c>
      <c r="Q13" s="260" t="s">
        <v>468</v>
      </c>
      <c r="R13" s="261"/>
      <c r="S13" s="259"/>
      <c r="T13" s="259"/>
      <c r="U13" s="385"/>
      <c r="V13" s="370"/>
      <c r="W13" s="373"/>
      <c r="X13" s="2">
        <v>50</v>
      </c>
    </row>
    <row r="14" spans="1:24" x14ac:dyDescent="0.25">
      <c r="A14" s="396"/>
      <c r="B14" s="376"/>
      <c r="C14" s="376"/>
      <c r="D14" s="376"/>
      <c r="E14" s="416"/>
      <c r="F14" s="382"/>
      <c r="G14" s="376"/>
      <c r="H14" s="385"/>
      <c r="I14" s="388"/>
      <c r="J14" s="376"/>
      <c r="K14" s="376"/>
      <c r="L14" s="376"/>
      <c r="M14" s="376"/>
      <c r="N14" s="262" t="s">
        <v>470</v>
      </c>
      <c r="O14" s="382"/>
      <c r="P14" s="259">
        <v>816.37</v>
      </c>
      <c r="Q14" s="260" t="s">
        <v>509</v>
      </c>
      <c r="R14" s="261"/>
      <c r="S14" s="259"/>
      <c r="T14" s="259"/>
      <c r="U14" s="385"/>
      <c r="V14" s="370"/>
      <c r="W14" s="373"/>
      <c r="X14" s="2">
        <v>50</v>
      </c>
    </row>
    <row r="15" spans="1:24" x14ac:dyDescent="0.25">
      <c r="A15" s="397"/>
      <c r="B15" s="377"/>
      <c r="C15" s="377"/>
      <c r="D15" s="377"/>
      <c r="E15" s="417"/>
      <c r="F15" s="383"/>
      <c r="G15" s="377"/>
      <c r="H15" s="386"/>
      <c r="I15" s="389"/>
      <c r="J15" s="377"/>
      <c r="K15" s="377"/>
      <c r="L15" s="377"/>
      <c r="M15" s="377"/>
      <c r="N15" s="258" t="s">
        <v>562</v>
      </c>
      <c r="O15" s="383"/>
      <c r="P15" s="254">
        <v>805.55</v>
      </c>
      <c r="Q15" s="255" t="s">
        <v>564</v>
      </c>
      <c r="R15" s="256"/>
      <c r="S15" s="254"/>
      <c r="T15" s="254"/>
      <c r="U15" s="386"/>
      <c r="V15" s="371"/>
      <c r="W15" s="374"/>
      <c r="X15" s="2">
        <v>50</v>
      </c>
    </row>
    <row r="16" spans="1:24" s="85" customFormat="1" ht="94.9" customHeight="1" x14ac:dyDescent="0.25">
      <c r="A16" s="395">
        <v>3</v>
      </c>
      <c r="B16" s="375" t="s">
        <v>56</v>
      </c>
      <c r="C16" s="375"/>
      <c r="D16" s="375"/>
      <c r="E16" s="415" t="s">
        <v>152</v>
      </c>
      <c r="F16" s="381" t="s">
        <v>236</v>
      </c>
      <c r="G16" s="375" t="s">
        <v>237</v>
      </c>
      <c r="H16" s="384">
        <v>36000</v>
      </c>
      <c r="I16" s="387">
        <f>IF(X16 = 51, H16 + SUM(S16:S21) - SUM(T16:T21) - SUM(P16:P21) - V16,0)</f>
        <v>18000</v>
      </c>
      <c r="J16" s="375" t="s">
        <v>238</v>
      </c>
      <c r="K16" s="375" t="s">
        <v>153</v>
      </c>
      <c r="L16" s="375"/>
      <c r="M16" s="375" t="s">
        <v>214</v>
      </c>
      <c r="N16" s="257" t="s">
        <v>307</v>
      </c>
      <c r="O16" s="381" t="s">
        <v>239</v>
      </c>
      <c r="P16" s="253">
        <v>3000</v>
      </c>
      <c r="Q16" s="252" t="s">
        <v>308</v>
      </c>
      <c r="R16" s="251"/>
      <c r="S16" s="253"/>
      <c r="T16" s="253"/>
      <c r="U16" s="384"/>
      <c r="V16" s="369"/>
      <c r="W16" s="372"/>
      <c r="X16" s="85">
        <v>51</v>
      </c>
    </row>
    <row r="17" spans="1:24" x14ac:dyDescent="0.25">
      <c r="A17" s="396"/>
      <c r="B17" s="376"/>
      <c r="C17" s="376"/>
      <c r="D17" s="376"/>
      <c r="E17" s="416"/>
      <c r="F17" s="382"/>
      <c r="G17" s="376"/>
      <c r="H17" s="385"/>
      <c r="I17" s="388"/>
      <c r="J17" s="376"/>
      <c r="K17" s="376"/>
      <c r="L17" s="376"/>
      <c r="M17" s="376"/>
      <c r="N17" s="262" t="s">
        <v>345</v>
      </c>
      <c r="O17" s="382"/>
      <c r="P17" s="259">
        <v>3000</v>
      </c>
      <c r="Q17" s="260" t="s">
        <v>344</v>
      </c>
      <c r="R17" s="261"/>
      <c r="S17" s="259"/>
      <c r="T17" s="259"/>
      <c r="U17" s="385"/>
      <c r="V17" s="370"/>
      <c r="W17" s="373"/>
      <c r="X17" s="2">
        <v>51</v>
      </c>
    </row>
    <row r="18" spans="1:24" x14ac:dyDescent="0.25">
      <c r="A18" s="396"/>
      <c r="B18" s="376"/>
      <c r="C18" s="376"/>
      <c r="D18" s="376"/>
      <c r="E18" s="416"/>
      <c r="F18" s="382"/>
      <c r="G18" s="376"/>
      <c r="H18" s="385"/>
      <c r="I18" s="388"/>
      <c r="J18" s="376"/>
      <c r="K18" s="376"/>
      <c r="L18" s="376"/>
      <c r="M18" s="376"/>
      <c r="N18" s="262" t="s">
        <v>371</v>
      </c>
      <c r="O18" s="382"/>
      <c r="P18" s="259">
        <v>3000</v>
      </c>
      <c r="Q18" s="260" t="s">
        <v>372</v>
      </c>
      <c r="R18" s="261"/>
      <c r="S18" s="259"/>
      <c r="T18" s="259"/>
      <c r="U18" s="385"/>
      <c r="V18" s="370"/>
      <c r="W18" s="373"/>
      <c r="X18" s="2">
        <v>51</v>
      </c>
    </row>
    <row r="19" spans="1:24" x14ac:dyDescent="0.25">
      <c r="A19" s="396"/>
      <c r="B19" s="376"/>
      <c r="C19" s="376"/>
      <c r="D19" s="376"/>
      <c r="E19" s="416"/>
      <c r="F19" s="382"/>
      <c r="G19" s="376"/>
      <c r="H19" s="385"/>
      <c r="I19" s="388"/>
      <c r="J19" s="376"/>
      <c r="K19" s="376"/>
      <c r="L19" s="376"/>
      <c r="M19" s="376"/>
      <c r="N19" s="262" t="s">
        <v>460</v>
      </c>
      <c r="O19" s="382"/>
      <c r="P19" s="259">
        <v>3000</v>
      </c>
      <c r="Q19" s="260" t="s">
        <v>457</v>
      </c>
      <c r="R19" s="261"/>
      <c r="S19" s="259"/>
      <c r="T19" s="259"/>
      <c r="U19" s="385"/>
      <c r="V19" s="370"/>
      <c r="W19" s="373"/>
      <c r="X19" s="2">
        <v>51</v>
      </c>
    </row>
    <row r="20" spans="1:24" x14ac:dyDescent="0.25">
      <c r="A20" s="396"/>
      <c r="B20" s="376"/>
      <c r="C20" s="376"/>
      <c r="D20" s="376"/>
      <c r="E20" s="416"/>
      <c r="F20" s="382"/>
      <c r="G20" s="376"/>
      <c r="H20" s="385"/>
      <c r="I20" s="388"/>
      <c r="J20" s="376"/>
      <c r="K20" s="376"/>
      <c r="L20" s="376"/>
      <c r="M20" s="376"/>
      <c r="N20" s="262" t="s">
        <v>470</v>
      </c>
      <c r="O20" s="382"/>
      <c r="P20" s="259">
        <v>3000</v>
      </c>
      <c r="Q20" s="260" t="s">
        <v>507</v>
      </c>
      <c r="R20" s="261"/>
      <c r="S20" s="259"/>
      <c r="T20" s="259"/>
      <c r="U20" s="385"/>
      <c r="V20" s="370"/>
      <c r="W20" s="373"/>
      <c r="X20" s="2">
        <v>51</v>
      </c>
    </row>
    <row r="21" spans="1:24" x14ac:dyDescent="0.25">
      <c r="A21" s="397"/>
      <c r="B21" s="377"/>
      <c r="C21" s="377"/>
      <c r="D21" s="377"/>
      <c r="E21" s="417"/>
      <c r="F21" s="383"/>
      <c r="G21" s="377"/>
      <c r="H21" s="386"/>
      <c r="I21" s="389"/>
      <c r="J21" s="377"/>
      <c r="K21" s="377"/>
      <c r="L21" s="377"/>
      <c r="M21" s="377"/>
      <c r="N21" s="258" t="s">
        <v>562</v>
      </c>
      <c r="O21" s="383"/>
      <c r="P21" s="254">
        <v>3000</v>
      </c>
      <c r="Q21" s="255" t="s">
        <v>564</v>
      </c>
      <c r="R21" s="256"/>
      <c r="S21" s="254"/>
      <c r="T21" s="254"/>
      <c r="U21" s="386"/>
      <c r="V21" s="371"/>
      <c r="W21" s="374"/>
      <c r="X21" s="2">
        <v>51</v>
      </c>
    </row>
    <row r="22" spans="1:24" s="85" customFormat="1" ht="90" customHeight="1" x14ac:dyDescent="0.25">
      <c r="A22" s="395">
        <v>4</v>
      </c>
      <c r="B22" s="375" t="s">
        <v>56</v>
      </c>
      <c r="C22" s="375"/>
      <c r="D22" s="375"/>
      <c r="E22" s="415" t="s">
        <v>240</v>
      </c>
      <c r="F22" s="381" t="s">
        <v>236</v>
      </c>
      <c r="G22" s="375" t="s">
        <v>241</v>
      </c>
      <c r="H22" s="384">
        <v>24000</v>
      </c>
      <c r="I22" s="387">
        <f>IF(X22 = 52, H22 + SUM(S22:S27) - SUM(T22:T27) - SUM(P22:P27) - V22,0)</f>
        <v>12000</v>
      </c>
      <c r="J22" s="375" t="s">
        <v>238</v>
      </c>
      <c r="K22" s="375" t="s">
        <v>153</v>
      </c>
      <c r="L22" s="375"/>
      <c r="M22" s="375" t="s">
        <v>214</v>
      </c>
      <c r="N22" s="257" t="s">
        <v>307</v>
      </c>
      <c r="O22" s="381" t="s">
        <v>239</v>
      </c>
      <c r="P22" s="253">
        <v>2000</v>
      </c>
      <c r="Q22" s="252" t="s">
        <v>306</v>
      </c>
      <c r="R22" s="251"/>
      <c r="S22" s="253"/>
      <c r="T22" s="253"/>
      <c r="U22" s="384"/>
      <c r="V22" s="369"/>
      <c r="W22" s="372"/>
      <c r="X22" s="85">
        <v>52</v>
      </c>
    </row>
    <row r="23" spans="1:24" x14ac:dyDescent="0.25">
      <c r="A23" s="396"/>
      <c r="B23" s="376"/>
      <c r="C23" s="376"/>
      <c r="D23" s="376"/>
      <c r="E23" s="416"/>
      <c r="F23" s="382"/>
      <c r="G23" s="376"/>
      <c r="H23" s="385"/>
      <c r="I23" s="388"/>
      <c r="J23" s="376"/>
      <c r="K23" s="376"/>
      <c r="L23" s="376"/>
      <c r="M23" s="376"/>
      <c r="N23" s="262" t="s">
        <v>345</v>
      </c>
      <c r="O23" s="382"/>
      <c r="P23" s="259">
        <v>2000</v>
      </c>
      <c r="Q23" s="260" t="s">
        <v>344</v>
      </c>
      <c r="R23" s="261"/>
      <c r="S23" s="259"/>
      <c r="T23" s="259"/>
      <c r="U23" s="385"/>
      <c r="V23" s="370"/>
      <c r="W23" s="373"/>
      <c r="X23" s="2">
        <v>52</v>
      </c>
    </row>
    <row r="24" spans="1:24" x14ac:dyDescent="0.25">
      <c r="A24" s="396"/>
      <c r="B24" s="376"/>
      <c r="C24" s="376"/>
      <c r="D24" s="376"/>
      <c r="E24" s="416"/>
      <c r="F24" s="382"/>
      <c r="G24" s="376"/>
      <c r="H24" s="385"/>
      <c r="I24" s="388"/>
      <c r="J24" s="376"/>
      <c r="K24" s="376"/>
      <c r="L24" s="376"/>
      <c r="M24" s="376"/>
      <c r="N24" s="262" t="s">
        <v>371</v>
      </c>
      <c r="O24" s="382"/>
      <c r="P24" s="259">
        <v>2000</v>
      </c>
      <c r="Q24" s="260" t="s">
        <v>372</v>
      </c>
      <c r="R24" s="261"/>
      <c r="S24" s="259"/>
      <c r="T24" s="259"/>
      <c r="U24" s="385"/>
      <c r="V24" s="370"/>
      <c r="W24" s="373"/>
      <c r="X24" s="2">
        <v>52</v>
      </c>
    </row>
    <row r="25" spans="1:24" x14ac:dyDescent="0.25">
      <c r="A25" s="396"/>
      <c r="B25" s="376"/>
      <c r="C25" s="376"/>
      <c r="D25" s="376"/>
      <c r="E25" s="416"/>
      <c r="F25" s="382"/>
      <c r="G25" s="376"/>
      <c r="H25" s="385"/>
      <c r="I25" s="388"/>
      <c r="J25" s="376"/>
      <c r="K25" s="376"/>
      <c r="L25" s="376"/>
      <c r="M25" s="376"/>
      <c r="N25" s="262" t="s">
        <v>460</v>
      </c>
      <c r="O25" s="382"/>
      <c r="P25" s="259">
        <v>2000</v>
      </c>
      <c r="Q25" s="260" t="s">
        <v>457</v>
      </c>
      <c r="R25" s="261"/>
      <c r="S25" s="259"/>
      <c r="T25" s="259"/>
      <c r="U25" s="385"/>
      <c r="V25" s="370"/>
      <c r="W25" s="373"/>
      <c r="X25" s="2">
        <v>52</v>
      </c>
    </row>
    <row r="26" spans="1:24" x14ac:dyDescent="0.25">
      <c r="A26" s="396"/>
      <c r="B26" s="376"/>
      <c r="C26" s="376"/>
      <c r="D26" s="376"/>
      <c r="E26" s="416"/>
      <c r="F26" s="382"/>
      <c r="G26" s="376"/>
      <c r="H26" s="385"/>
      <c r="I26" s="388"/>
      <c r="J26" s="376"/>
      <c r="K26" s="376"/>
      <c r="L26" s="376"/>
      <c r="M26" s="376"/>
      <c r="N26" s="262" t="s">
        <v>470</v>
      </c>
      <c r="O26" s="382"/>
      <c r="P26" s="259">
        <v>2000</v>
      </c>
      <c r="Q26" s="260" t="s">
        <v>507</v>
      </c>
      <c r="R26" s="261"/>
      <c r="S26" s="259"/>
      <c r="T26" s="259"/>
      <c r="U26" s="385"/>
      <c r="V26" s="370"/>
      <c r="W26" s="373"/>
      <c r="X26" s="2">
        <v>52</v>
      </c>
    </row>
    <row r="27" spans="1:24" x14ac:dyDescent="0.25">
      <c r="A27" s="397"/>
      <c r="B27" s="377"/>
      <c r="C27" s="377"/>
      <c r="D27" s="377"/>
      <c r="E27" s="417"/>
      <c r="F27" s="383"/>
      <c r="G27" s="377"/>
      <c r="H27" s="386"/>
      <c r="I27" s="389"/>
      <c r="J27" s="377"/>
      <c r="K27" s="377"/>
      <c r="L27" s="377"/>
      <c r="M27" s="377"/>
      <c r="N27" s="258" t="s">
        <v>562</v>
      </c>
      <c r="O27" s="383"/>
      <c r="P27" s="254">
        <v>2000</v>
      </c>
      <c r="Q27" s="255" t="s">
        <v>564</v>
      </c>
      <c r="R27" s="256"/>
      <c r="S27" s="254"/>
      <c r="T27" s="254"/>
      <c r="U27" s="386"/>
      <c r="V27" s="371"/>
      <c r="W27" s="374"/>
      <c r="X27" s="2">
        <v>52</v>
      </c>
    </row>
    <row r="28" spans="1:24" s="85" customFormat="1" ht="90" customHeight="1" x14ac:dyDescent="0.25">
      <c r="A28" s="395">
        <v>5</v>
      </c>
      <c r="B28" s="375" t="s">
        <v>56</v>
      </c>
      <c r="C28" s="375"/>
      <c r="D28" s="375"/>
      <c r="E28" s="415" t="s">
        <v>57</v>
      </c>
      <c r="F28" s="381" t="s">
        <v>236</v>
      </c>
      <c r="G28" s="375" t="s">
        <v>242</v>
      </c>
      <c r="H28" s="384">
        <v>72000</v>
      </c>
      <c r="I28" s="387">
        <f>IF(X28 = 53, H28 + SUM(S28:S33) - SUM(T28:T33) - SUM(P28:P33) - V28,0)</f>
        <v>36000</v>
      </c>
      <c r="J28" s="375" t="s">
        <v>243</v>
      </c>
      <c r="K28" s="375" t="s">
        <v>166</v>
      </c>
      <c r="L28" s="375"/>
      <c r="M28" s="375" t="s">
        <v>214</v>
      </c>
      <c r="N28" s="257" t="s">
        <v>307</v>
      </c>
      <c r="O28" s="381" t="s">
        <v>239</v>
      </c>
      <c r="P28" s="253">
        <v>6000</v>
      </c>
      <c r="Q28" s="252" t="s">
        <v>314</v>
      </c>
      <c r="R28" s="251"/>
      <c r="S28" s="253"/>
      <c r="T28" s="253"/>
      <c r="U28" s="384"/>
      <c r="V28" s="369"/>
      <c r="W28" s="372"/>
      <c r="X28" s="85">
        <v>53</v>
      </c>
    </row>
    <row r="29" spans="1:24" x14ac:dyDescent="0.25">
      <c r="A29" s="396"/>
      <c r="B29" s="376"/>
      <c r="C29" s="376"/>
      <c r="D29" s="376"/>
      <c r="E29" s="416"/>
      <c r="F29" s="382"/>
      <c r="G29" s="376"/>
      <c r="H29" s="385"/>
      <c r="I29" s="388"/>
      <c r="J29" s="376"/>
      <c r="K29" s="376"/>
      <c r="L29" s="376"/>
      <c r="M29" s="376"/>
      <c r="N29" s="262" t="s">
        <v>345</v>
      </c>
      <c r="O29" s="382"/>
      <c r="P29" s="259">
        <v>6000</v>
      </c>
      <c r="Q29" s="260" t="s">
        <v>349</v>
      </c>
      <c r="R29" s="261"/>
      <c r="S29" s="259"/>
      <c r="T29" s="259"/>
      <c r="U29" s="385"/>
      <c r="V29" s="370"/>
      <c r="W29" s="373"/>
      <c r="X29" s="2">
        <v>53</v>
      </c>
    </row>
    <row r="30" spans="1:24" x14ac:dyDescent="0.25">
      <c r="A30" s="396"/>
      <c r="B30" s="376"/>
      <c r="C30" s="376"/>
      <c r="D30" s="376"/>
      <c r="E30" s="416"/>
      <c r="F30" s="382"/>
      <c r="G30" s="376"/>
      <c r="H30" s="385"/>
      <c r="I30" s="388"/>
      <c r="J30" s="376"/>
      <c r="K30" s="376"/>
      <c r="L30" s="376"/>
      <c r="M30" s="376"/>
      <c r="N30" s="262" t="s">
        <v>371</v>
      </c>
      <c r="O30" s="382"/>
      <c r="P30" s="259">
        <v>6000</v>
      </c>
      <c r="Q30" s="260" t="s">
        <v>376</v>
      </c>
      <c r="R30" s="261"/>
      <c r="S30" s="259"/>
      <c r="T30" s="259"/>
      <c r="U30" s="385"/>
      <c r="V30" s="370"/>
      <c r="W30" s="373"/>
      <c r="X30" s="2">
        <v>53</v>
      </c>
    </row>
    <row r="31" spans="1:24" x14ac:dyDescent="0.25">
      <c r="A31" s="396"/>
      <c r="B31" s="376"/>
      <c r="C31" s="376"/>
      <c r="D31" s="376"/>
      <c r="E31" s="416"/>
      <c r="F31" s="382"/>
      <c r="G31" s="376"/>
      <c r="H31" s="385"/>
      <c r="I31" s="388"/>
      <c r="J31" s="376"/>
      <c r="K31" s="376"/>
      <c r="L31" s="376"/>
      <c r="M31" s="376"/>
      <c r="N31" s="262" t="s">
        <v>460</v>
      </c>
      <c r="O31" s="382"/>
      <c r="P31" s="259">
        <v>6000</v>
      </c>
      <c r="Q31" s="260" t="s">
        <v>464</v>
      </c>
      <c r="R31" s="261"/>
      <c r="S31" s="259"/>
      <c r="T31" s="259"/>
      <c r="U31" s="385"/>
      <c r="V31" s="370"/>
      <c r="W31" s="373"/>
      <c r="X31" s="2">
        <v>53</v>
      </c>
    </row>
    <row r="32" spans="1:24" x14ac:dyDescent="0.25">
      <c r="A32" s="396"/>
      <c r="B32" s="376"/>
      <c r="C32" s="376"/>
      <c r="D32" s="376"/>
      <c r="E32" s="416"/>
      <c r="F32" s="382"/>
      <c r="G32" s="376"/>
      <c r="H32" s="385"/>
      <c r="I32" s="388"/>
      <c r="J32" s="376"/>
      <c r="K32" s="376"/>
      <c r="L32" s="376"/>
      <c r="M32" s="376"/>
      <c r="N32" s="262" t="s">
        <v>470</v>
      </c>
      <c r="O32" s="382"/>
      <c r="P32" s="259">
        <v>6000</v>
      </c>
      <c r="Q32" s="260" t="s">
        <v>509</v>
      </c>
      <c r="R32" s="261"/>
      <c r="S32" s="259"/>
      <c r="T32" s="259"/>
      <c r="U32" s="385"/>
      <c r="V32" s="370"/>
      <c r="W32" s="373"/>
      <c r="X32" s="2">
        <v>53</v>
      </c>
    </row>
    <row r="33" spans="1:24" x14ac:dyDescent="0.25">
      <c r="A33" s="397"/>
      <c r="B33" s="377"/>
      <c r="C33" s="377"/>
      <c r="D33" s="377"/>
      <c r="E33" s="417"/>
      <c r="F33" s="383"/>
      <c r="G33" s="377"/>
      <c r="H33" s="386"/>
      <c r="I33" s="389"/>
      <c r="J33" s="377"/>
      <c r="K33" s="377"/>
      <c r="L33" s="377"/>
      <c r="M33" s="377"/>
      <c r="N33" s="258" t="s">
        <v>562</v>
      </c>
      <c r="O33" s="383"/>
      <c r="P33" s="254">
        <v>6000</v>
      </c>
      <c r="Q33" s="255" t="s">
        <v>564</v>
      </c>
      <c r="R33" s="256"/>
      <c r="S33" s="254"/>
      <c r="T33" s="254"/>
      <c r="U33" s="386"/>
      <c r="V33" s="371"/>
      <c r="W33" s="374"/>
      <c r="X33" s="2">
        <v>53</v>
      </c>
    </row>
    <row r="34" spans="1:24" s="85" customFormat="1" ht="90" customHeight="1" x14ac:dyDescent="0.25">
      <c r="A34" s="395">
        <v>6</v>
      </c>
      <c r="B34" s="375" t="s">
        <v>56</v>
      </c>
      <c r="C34" s="375"/>
      <c r="D34" s="375"/>
      <c r="E34" s="378" t="s">
        <v>244</v>
      </c>
      <c r="F34" s="381" t="s">
        <v>236</v>
      </c>
      <c r="G34" s="375" t="s">
        <v>245</v>
      </c>
      <c r="H34" s="384">
        <v>7200</v>
      </c>
      <c r="I34" s="387">
        <f>IF(X34 = 54, H34 + SUM(S34:S35) - SUM(T34:T35) - SUM(P34:P35) - V34,0)</f>
        <v>3600</v>
      </c>
      <c r="J34" s="375" t="s">
        <v>246</v>
      </c>
      <c r="K34" s="375" t="s">
        <v>247</v>
      </c>
      <c r="L34" s="375"/>
      <c r="M34" s="375" t="s">
        <v>214</v>
      </c>
      <c r="N34" s="257" t="s">
        <v>371</v>
      </c>
      <c r="O34" s="381" t="s">
        <v>239</v>
      </c>
      <c r="P34" s="253">
        <v>1800</v>
      </c>
      <c r="Q34" s="252" t="s">
        <v>370</v>
      </c>
      <c r="R34" s="251"/>
      <c r="S34" s="253"/>
      <c r="T34" s="253"/>
      <c r="U34" s="384"/>
      <c r="V34" s="369"/>
      <c r="W34" s="372"/>
      <c r="X34" s="85">
        <v>54</v>
      </c>
    </row>
    <row r="35" spans="1:24" x14ac:dyDescent="0.25">
      <c r="A35" s="397"/>
      <c r="B35" s="377"/>
      <c r="C35" s="377"/>
      <c r="D35" s="377"/>
      <c r="E35" s="380"/>
      <c r="F35" s="383"/>
      <c r="G35" s="377"/>
      <c r="H35" s="386"/>
      <c r="I35" s="389"/>
      <c r="J35" s="377"/>
      <c r="K35" s="377"/>
      <c r="L35" s="377"/>
      <c r="M35" s="377"/>
      <c r="N35" s="258" t="s">
        <v>562</v>
      </c>
      <c r="O35" s="383"/>
      <c r="P35" s="254">
        <v>1800</v>
      </c>
      <c r="Q35" s="255" t="s">
        <v>563</v>
      </c>
      <c r="R35" s="256"/>
      <c r="S35" s="254"/>
      <c r="T35" s="254"/>
      <c r="U35" s="386"/>
      <c r="V35" s="371"/>
      <c r="W35" s="374"/>
      <c r="X35" s="2">
        <v>54</v>
      </c>
    </row>
    <row r="36" spans="1:24" s="85" customFormat="1" ht="75" x14ac:dyDescent="0.25">
      <c r="A36" s="126">
        <v>7</v>
      </c>
      <c r="B36" s="122" t="s">
        <v>56</v>
      </c>
      <c r="C36" s="122"/>
      <c r="D36" s="122"/>
      <c r="E36" s="127" t="s">
        <v>277</v>
      </c>
      <c r="F36" s="131" t="s">
        <v>236</v>
      </c>
      <c r="G36" s="122" t="s">
        <v>278</v>
      </c>
      <c r="H36" s="123">
        <v>8000</v>
      </c>
      <c r="I36" s="128">
        <f>IF(X36 = 55, H36 + SUM(S36:S36) - SUM(T36:T36) - SUM(P36:P36) - V36,0)</f>
        <v>0</v>
      </c>
      <c r="J36" s="122" t="s">
        <v>279</v>
      </c>
      <c r="K36" s="122" t="s">
        <v>280</v>
      </c>
      <c r="L36" s="122"/>
      <c r="M36" s="122" t="s">
        <v>214</v>
      </c>
      <c r="N36" s="131" t="s">
        <v>312</v>
      </c>
      <c r="O36" s="131" t="s">
        <v>281</v>
      </c>
      <c r="P36" s="123">
        <v>8000</v>
      </c>
      <c r="Q36" s="127" t="s">
        <v>311</v>
      </c>
      <c r="R36" s="122"/>
      <c r="S36" s="123"/>
      <c r="T36" s="123"/>
      <c r="U36" s="123"/>
      <c r="V36" s="144"/>
      <c r="W36" s="125"/>
      <c r="X36" s="85">
        <v>55</v>
      </c>
    </row>
    <row r="37" spans="1:24" s="85" customFormat="1" ht="72" customHeight="1" x14ac:dyDescent="0.25">
      <c r="A37" s="331">
        <v>8</v>
      </c>
      <c r="B37" s="340" t="s">
        <v>56</v>
      </c>
      <c r="C37" s="340"/>
      <c r="D37" s="340"/>
      <c r="E37" s="362" t="s">
        <v>282</v>
      </c>
      <c r="F37" s="334" t="s">
        <v>283</v>
      </c>
      <c r="G37" s="340" t="s">
        <v>284</v>
      </c>
      <c r="H37" s="337">
        <v>28761.599999999999</v>
      </c>
      <c r="I37" s="365">
        <f>IF(X37 = 56, H37 + SUM(S37:S41) - SUM(T37:T41) - SUM(P37:P41) - V37,0)</f>
        <v>0</v>
      </c>
      <c r="J37" s="340" t="s">
        <v>285</v>
      </c>
      <c r="K37" s="340" t="s">
        <v>286</v>
      </c>
      <c r="L37" s="340"/>
      <c r="M37" s="340" t="s">
        <v>287</v>
      </c>
      <c r="N37" s="204" t="s">
        <v>307</v>
      </c>
      <c r="O37" s="334" t="s">
        <v>288</v>
      </c>
      <c r="P37" s="197">
        <v>2568</v>
      </c>
      <c r="Q37" s="196" t="s">
        <v>311</v>
      </c>
      <c r="R37" s="195"/>
      <c r="S37" s="197"/>
      <c r="T37" s="197"/>
      <c r="U37" s="337" t="s">
        <v>515</v>
      </c>
      <c r="V37" s="343">
        <v>15921.6</v>
      </c>
      <c r="W37" s="359"/>
      <c r="X37" s="85">
        <v>56</v>
      </c>
    </row>
    <row r="38" spans="1:24" x14ac:dyDescent="0.25">
      <c r="A38" s="332"/>
      <c r="B38" s="341"/>
      <c r="C38" s="341"/>
      <c r="D38" s="341"/>
      <c r="E38" s="363"/>
      <c r="F38" s="335"/>
      <c r="G38" s="341"/>
      <c r="H38" s="338"/>
      <c r="I38" s="366"/>
      <c r="J38" s="341"/>
      <c r="K38" s="341"/>
      <c r="L38" s="341"/>
      <c r="M38" s="341"/>
      <c r="N38" s="205" t="s">
        <v>345</v>
      </c>
      <c r="O38" s="335"/>
      <c r="P38" s="198">
        <v>2910.4</v>
      </c>
      <c r="Q38" s="199" t="s">
        <v>355</v>
      </c>
      <c r="R38" s="200"/>
      <c r="S38" s="198"/>
      <c r="T38" s="198"/>
      <c r="U38" s="338"/>
      <c r="V38" s="344"/>
      <c r="W38" s="360"/>
      <c r="X38" s="2">
        <v>56</v>
      </c>
    </row>
    <row r="39" spans="1:24" x14ac:dyDescent="0.25">
      <c r="A39" s="332"/>
      <c r="B39" s="341"/>
      <c r="C39" s="341"/>
      <c r="D39" s="341"/>
      <c r="E39" s="363"/>
      <c r="F39" s="335"/>
      <c r="G39" s="341"/>
      <c r="H39" s="338"/>
      <c r="I39" s="366"/>
      <c r="J39" s="341"/>
      <c r="K39" s="341"/>
      <c r="L39" s="341"/>
      <c r="M39" s="341"/>
      <c r="N39" s="205" t="s">
        <v>383</v>
      </c>
      <c r="O39" s="335"/>
      <c r="P39" s="198">
        <v>2568</v>
      </c>
      <c r="Q39" s="199" t="s">
        <v>376</v>
      </c>
      <c r="R39" s="200"/>
      <c r="S39" s="198"/>
      <c r="T39" s="198"/>
      <c r="U39" s="338"/>
      <c r="V39" s="344"/>
      <c r="W39" s="360"/>
      <c r="X39" s="2">
        <v>56</v>
      </c>
    </row>
    <row r="40" spans="1:24" x14ac:dyDescent="0.25">
      <c r="A40" s="332"/>
      <c r="B40" s="341"/>
      <c r="C40" s="341"/>
      <c r="D40" s="341"/>
      <c r="E40" s="363"/>
      <c r="F40" s="335"/>
      <c r="G40" s="341"/>
      <c r="H40" s="338"/>
      <c r="I40" s="366"/>
      <c r="J40" s="341"/>
      <c r="K40" s="341"/>
      <c r="L40" s="341"/>
      <c r="M40" s="341"/>
      <c r="N40" s="205" t="s">
        <v>459</v>
      </c>
      <c r="O40" s="335"/>
      <c r="P40" s="198">
        <v>2739.2</v>
      </c>
      <c r="Q40" s="199" t="s">
        <v>463</v>
      </c>
      <c r="R40" s="200"/>
      <c r="S40" s="198"/>
      <c r="T40" s="198"/>
      <c r="U40" s="338"/>
      <c r="V40" s="344"/>
      <c r="W40" s="360"/>
      <c r="X40" s="2">
        <v>56</v>
      </c>
    </row>
    <row r="41" spans="1:24" x14ac:dyDescent="0.25">
      <c r="A41" s="333"/>
      <c r="B41" s="342"/>
      <c r="C41" s="342"/>
      <c r="D41" s="342"/>
      <c r="E41" s="364"/>
      <c r="F41" s="336"/>
      <c r="G41" s="342"/>
      <c r="H41" s="339"/>
      <c r="I41" s="367"/>
      <c r="J41" s="342"/>
      <c r="K41" s="342"/>
      <c r="L41" s="342"/>
      <c r="M41" s="342"/>
      <c r="N41" s="206" t="s">
        <v>467</v>
      </c>
      <c r="O41" s="336"/>
      <c r="P41" s="201">
        <v>2054.4</v>
      </c>
      <c r="Q41" s="202" t="s">
        <v>470</v>
      </c>
      <c r="R41" s="203"/>
      <c r="S41" s="201"/>
      <c r="T41" s="201"/>
      <c r="U41" s="339"/>
      <c r="V41" s="345"/>
      <c r="W41" s="361"/>
      <c r="X41" s="2">
        <v>56</v>
      </c>
    </row>
    <row r="42" spans="1:24" s="85" customFormat="1" ht="72" customHeight="1" x14ac:dyDescent="0.25">
      <c r="A42" s="331">
        <v>9</v>
      </c>
      <c r="B42" s="340" t="s">
        <v>56</v>
      </c>
      <c r="C42" s="340"/>
      <c r="D42" s="340"/>
      <c r="E42" s="362" t="s">
        <v>289</v>
      </c>
      <c r="F42" s="334" t="s">
        <v>283</v>
      </c>
      <c r="G42" s="340" t="s">
        <v>290</v>
      </c>
      <c r="H42" s="337">
        <v>8400</v>
      </c>
      <c r="I42" s="365">
        <f>IF(X42 = 57, H42 + SUM(S42:S46) - SUM(T42:T46) - SUM(P42:P46) - V42,0)</f>
        <v>0</v>
      </c>
      <c r="J42" s="340" t="s">
        <v>285</v>
      </c>
      <c r="K42" s="340" t="s">
        <v>286</v>
      </c>
      <c r="L42" s="340"/>
      <c r="M42" s="340" t="s">
        <v>287</v>
      </c>
      <c r="N42" s="204" t="s">
        <v>307</v>
      </c>
      <c r="O42" s="334" t="s">
        <v>288</v>
      </c>
      <c r="P42" s="197">
        <v>750</v>
      </c>
      <c r="Q42" s="196" t="s">
        <v>313</v>
      </c>
      <c r="R42" s="195"/>
      <c r="S42" s="197"/>
      <c r="T42" s="197"/>
      <c r="U42" s="337" t="s">
        <v>516</v>
      </c>
      <c r="V42" s="343">
        <v>4650</v>
      </c>
      <c r="W42" s="359"/>
      <c r="X42" s="85">
        <v>57</v>
      </c>
    </row>
    <row r="43" spans="1:24" x14ac:dyDescent="0.25">
      <c r="A43" s="332"/>
      <c r="B43" s="341"/>
      <c r="C43" s="341"/>
      <c r="D43" s="341"/>
      <c r="E43" s="363"/>
      <c r="F43" s="335"/>
      <c r="G43" s="341"/>
      <c r="H43" s="338"/>
      <c r="I43" s="366"/>
      <c r="J43" s="341"/>
      <c r="K43" s="341"/>
      <c r="L43" s="341"/>
      <c r="M43" s="341"/>
      <c r="N43" s="205" t="s">
        <v>345</v>
      </c>
      <c r="O43" s="335"/>
      <c r="P43" s="198">
        <v>850</v>
      </c>
      <c r="Q43" s="199" t="s">
        <v>355</v>
      </c>
      <c r="R43" s="200"/>
      <c r="S43" s="198"/>
      <c r="T43" s="198"/>
      <c r="U43" s="338"/>
      <c r="V43" s="344"/>
      <c r="W43" s="360"/>
      <c r="X43" s="2">
        <v>57</v>
      </c>
    </row>
    <row r="44" spans="1:24" x14ac:dyDescent="0.25">
      <c r="A44" s="332"/>
      <c r="B44" s="341"/>
      <c r="C44" s="341"/>
      <c r="D44" s="341"/>
      <c r="E44" s="363"/>
      <c r="F44" s="335"/>
      <c r="G44" s="341"/>
      <c r="H44" s="338"/>
      <c r="I44" s="366"/>
      <c r="J44" s="341"/>
      <c r="K44" s="341"/>
      <c r="L44" s="341"/>
      <c r="M44" s="341"/>
      <c r="N44" s="205" t="s">
        <v>383</v>
      </c>
      <c r="O44" s="335"/>
      <c r="P44" s="198">
        <v>750</v>
      </c>
      <c r="Q44" s="199" t="s">
        <v>377</v>
      </c>
      <c r="R44" s="200"/>
      <c r="S44" s="198"/>
      <c r="T44" s="198"/>
      <c r="U44" s="338"/>
      <c r="V44" s="344"/>
      <c r="W44" s="360"/>
      <c r="X44" s="2">
        <v>57</v>
      </c>
    </row>
    <row r="45" spans="1:24" x14ac:dyDescent="0.25">
      <c r="A45" s="332"/>
      <c r="B45" s="341"/>
      <c r="C45" s="341"/>
      <c r="D45" s="341"/>
      <c r="E45" s="363"/>
      <c r="F45" s="335"/>
      <c r="G45" s="341"/>
      <c r="H45" s="338"/>
      <c r="I45" s="366"/>
      <c r="J45" s="341"/>
      <c r="K45" s="341"/>
      <c r="L45" s="341"/>
      <c r="M45" s="341"/>
      <c r="N45" s="205" t="s">
        <v>459</v>
      </c>
      <c r="O45" s="335"/>
      <c r="P45" s="198">
        <v>800</v>
      </c>
      <c r="Q45" s="199" t="s">
        <v>463</v>
      </c>
      <c r="R45" s="200"/>
      <c r="S45" s="198"/>
      <c r="T45" s="198"/>
      <c r="U45" s="338"/>
      <c r="V45" s="344"/>
      <c r="W45" s="360"/>
      <c r="X45" s="2">
        <v>57</v>
      </c>
    </row>
    <row r="46" spans="1:24" x14ac:dyDescent="0.25">
      <c r="A46" s="333"/>
      <c r="B46" s="342"/>
      <c r="C46" s="342"/>
      <c r="D46" s="342"/>
      <c r="E46" s="364"/>
      <c r="F46" s="336"/>
      <c r="G46" s="342"/>
      <c r="H46" s="339"/>
      <c r="I46" s="367"/>
      <c r="J46" s="342"/>
      <c r="K46" s="342"/>
      <c r="L46" s="342"/>
      <c r="M46" s="342"/>
      <c r="N46" s="206" t="s">
        <v>467</v>
      </c>
      <c r="O46" s="336"/>
      <c r="P46" s="201">
        <v>600</v>
      </c>
      <c r="Q46" s="202" t="s">
        <v>470</v>
      </c>
      <c r="R46" s="203"/>
      <c r="S46" s="201"/>
      <c r="T46" s="201"/>
      <c r="U46" s="339"/>
      <c r="V46" s="345"/>
      <c r="W46" s="361"/>
      <c r="X46" s="2">
        <v>57</v>
      </c>
    </row>
    <row r="47" spans="1:24" s="85" customFormat="1" ht="72" customHeight="1" x14ac:dyDescent="0.25">
      <c r="A47" s="355">
        <v>10</v>
      </c>
      <c r="B47" s="325" t="s">
        <v>56</v>
      </c>
      <c r="C47" s="325"/>
      <c r="D47" s="325"/>
      <c r="E47" s="346" t="s">
        <v>291</v>
      </c>
      <c r="F47" s="349" t="s">
        <v>283</v>
      </c>
      <c r="G47" s="325" t="s">
        <v>292</v>
      </c>
      <c r="H47" s="322">
        <v>157474.79999999999</v>
      </c>
      <c r="I47" s="352">
        <f>IF(X47 = 58, H47 + SUM(S47:S56) - SUM(T47:T56) - SUM(P47:P56) - V47,0)</f>
        <v>-7.2759576141834259E-12</v>
      </c>
      <c r="J47" s="325" t="s">
        <v>285</v>
      </c>
      <c r="K47" s="325" t="s">
        <v>286</v>
      </c>
      <c r="L47" s="325"/>
      <c r="M47" s="325" t="s">
        <v>287</v>
      </c>
      <c r="N47" s="234" t="s">
        <v>307</v>
      </c>
      <c r="O47" s="349" t="s">
        <v>288</v>
      </c>
      <c r="P47" s="230">
        <v>11269.73</v>
      </c>
      <c r="Q47" s="229" t="s">
        <v>311</v>
      </c>
      <c r="R47" s="228"/>
      <c r="S47" s="230"/>
      <c r="T47" s="230"/>
      <c r="U47" s="322" t="s">
        <v>517</v>
      </c>
      <c r="V47" s="328">
        <v>53294.239999999998</v>
      </c>
      <c r="W47" s="357"/>
      <c r="X47" s="85">
        <v>58</v>
      </c>
    </row>
    <row r="48" spans="1:24" x14ac:dyDescent="0.25">
      <c r="A48" s="398"/>
      <c r="B48" s="326"/>
      <c r="C48" s="326"/>
      <c r="D48" s="326"/>
      <c r="E48" s="347"/>
      <c r="F48" s="350"/>
      <c r="G48" s="326"/>
      <c r="H48" s="323"/>
      <c r="I48" s="353"/>
      <c r="J48" s="326"/>
      <c r="K48" s="326"/>
      <c r="L48" s="326"/>
      <c r="M48" s="326"/>
      <c r="N48" s="239" t="s">
        <v>307</v>
      </c>
      <c r="O48" s="350"/>
      <c r="P48" s="236">
        <v>9220.69</v>
      </c>
      <c r="Q48" s="237" t="s">
        <v>311</v>
      </c>
      <c r="R48" s="238"/>
      <c r="S48" s="236"/>
      <c r="T48" s="236"/>
      <c r="U48" s="323"/>
      <c r="V48" s="329"/>
      <c r="W48" s="368"/>
      <c r="X48" s="2">
        <v>58</v>
      </c>
    </row>
    <row r="49" spans="1:24" x14ac:dyDescent="0.25">
      <c r="A49" s="398"/>
      <c r="B49" s="326"/>
      <c r="C49" s="326"/>
      <c r="D49" s="326"/>
      <c r="E49" s="347"/>
      <c r="F49" s="350"/>
      <c r="G49" s="326"/>
      <c r="H49" s="323"/>
      <c r="I49" s="353"/>
      <c r="J49" s="326"/>
      <c r="K49" s="326"/>
      <c r="L49" s="326"/>
      <c r="M49" s="326"/>
      <c r="N49" s="239" t="s">
        <v>345</v>
      </c>
      <c r="O49" s="350"/>
      <c r="P49" s="236">
        <v>10634.23</v>
      </c>
      <c r="Q49" s="237" t="s">
        <v>355</v>
      </c>
      <c r="R49" s="238"/>
      <c r="S49" s="236"/>
      <c r="T49" s="236"/>
      <c r="U49" s="323"/>
      <c r="V49" s="329"/>
      <c r="W49" s="368"/>
      <c r="X49" s="2">
        <v>58</v>
      </c>
    </row>
    <row r="50" spans="1:24" x14ac:dyDescent="0.25">
      <c r="A50" s="398"/>
      <c r="B50" s="326"/>
      <c r="C50" s="326"/>
      <c r="D50" s="326"/>
      <c r="E50" s="347"/>
      <c r="F50" s="350"/>
      <c r="G50" s="326"/>
      <c r="H50" s="323"/>
      <c r="I50" s="353"/>
      <c r="J50" s="326"/>
      <c r="K50" s="326"/>
      <c r="L50" s="326"/>
      <c r="M50" s="326"/>
      <c r="N50" s="239" t="s">
        <v>345</v>
      </c>
      <c r="O50" s="350"/>
      <c r="P50" s="236">
        <v>8700.74</v>
      </c>
      <c r="Q50" s="237" t="s">
        <v>355</v>
      </c>
      <c r="R50" s="238"/>
      <c r="S50" s="236"/>
      <c r="T50" s="236"/>
      <c r="U50" s="323"/>
      <c r="V50" s="329"/>
      <c r="W50" s="368"/>
      <c r="X50" s="2">
        <v>58</v>
      </c>
    </row>
    <row r="51" spans="1:24" x14ac:dyDescent="0.25">
      <c r="A51" s="398"/>
      <c r="B51" s="326"/>
      <c r="C51" s="326"/>
      <c r="D51" s="326"/>
      <c r="E51" s="347"/>
      <c r="F51" s="350"/>
      <c r="G51" s="326"/>
      <c r="H51" s="323"/>
      <c r="I51" s="353"/>
      <c r="J51" s="326"/>
      <c r="K51" s="326"/>
      <c r="L51" s="326"/>
      <c r="M51" s="326"/>
      <c r="N51" s="239" t="s">
        <v>383</v>
      </c>
      <c r="O51" s="350"/>
      <c r="P51" s="236">
        <v>11999.06</v>
      </c>
      <c r="Q51" s="237" t="s">
        <v>375</v>
      </c>
      <c r="R51" s="238"/>
      <c r="S51" s="236"/>
      <c r="T51" s="236"/>
      <c r="U51" s="323"/>
      <c r="V51" s="329"/>
      <c r="W51" s="368"/>
      <c r="X51" s="2">
        <v>58</v>
      </c>
    </row>
    <row r="52" spans="1:24" x14ac:dyDescent="0.25">
      <c r="A52" s="398"/>
      <c r="B52" s="326"/>
      <c r="C52" s="326"/>
      <c r="D52" s="326"/>
      <c r="E52" s="347"/>
      <c r="F52" s="350"/>
      <c r="G52" s="326"/>
      <c r="H52" s="323"/>
      <c r="I52" s="353"/>
      <c r="J52" s="326"/>
      <c r="K52" s="326"/>
      <c r="L52" s="326"/>
      <c r="M52" s="326"/>
      <c r="N52" s="239" t="s">
        <v>383</v>
      </c>
      <c r="O52" s="350"/>
      <c r="P52" s="236">
        <v>9817.41</v>
      </c>
      <c r="Q52" s="237" t="s">
        <v>375</v>
      </c>
      <c r="R52" s="238"/>
      <c r="S52" s="236"/>
      <c r="T52" s="236"/>
      <c r="U52" s="323"/>
      <c r="V52" s="329"/>
      <c r="W52" s="368"/>
      <c r="X52" s="2">
        <v>58</v>
      </c>
    </row>
    <row r="53" spans="1:24" x14ac:dyDescent="0.25">
      <c r="A53" s="398"/>
      <c r="B53" s="326"/>
      <c r="C53" s="326"/>
      <c r="D53" s="326"/>
      <c r="E53" s="347"/>
      <c r="F53" s="350"/>
      <c r="G53" s="326"/>
      <c r="H53" s="323"/>
      <c r="I53" s="353"/>
      <c r="J53" s="326"/>
      <c r="K53" s="326"/>
      <c r="L53" s="326"/>
      <c r="M53" s="326"/>
      <c r="N53" s="239" t="s">
        <v>459</v>
      </c>
      <c r="O53" s="350"/>
      <c r="P53" s="236">
        <v>14127.21</v>
      </c>
      <c r="Q53" s="237" t="s">
        <v>463</v>
      </c>
      <c r="R53" s="238"/>
      <c r="S53" s="236"/>
      <c r="T53" s="236"/>
      <c r="U53" s="323"/>
      <c r="V53" s="329"/>
      <c r="W53" s="368"/>
      <c r="X53" s="2">
        <v>58</v>
      </c>
    </row>
    <row r="54" spans="1:24" x14ac:dyDescent="0.25">
      <c r="A54" s="398"/>
      <c r="B54" s="326"/>
      <c r="C54" s="326"/>
      <c r="D54" s="326"/>
      <c r="E54" s="347"/>
      <c r="F54" s="350"/>
      <c r="G54" s="326"/>
      <c r="H54" s="323"/>
      <c r="I54" s="353"/>
      <c r="J54" s="326"/>
      <c r="K54" s="326"/>
      <c r="L54" s="326"/>
      <c r="M54" s="326"/>
      <c r="N54" s="239" t="s">
        <v>459</v>
      </c>
      <c r="O54" s="350"/>
      <c r="P54" s="236">
        <v>11558.62</v>
      </c>
      <c r="Q54" s="237" t="s">
        <v>463</v>
      </c>
      <c r="R54" s="238"/>
      <c r="S54" s="236"/>
      <c r="T54" s="236"/>
      <c r="U54" s="323"/>
      <c r="V54" s="329"/>
      <c r="W54" s="368"/>
      <c r="X54" s="2">
        <v>58</v>
      </c>
    </row>
    <row r="55" spans="1:24" x14ac:dyDescent="0.25">
      <c r="A55" s="398"/>
      <c r="B55" s="326"/>
      <c r="C55" s="326"/>
      <c r="D55" s="326"/>
      <c r="E55" s="347"/>
      <c r="F55" s="350"/>
      <c r="G55" s="326"/>
      <c r="H55" s="323"/>
      <c r="I55" s="353"/>
      <c r="J55" s="326"/>
      <c r="K55" s="326"/>
      <c r="L55" s="326"/>
      <c r="M55" s="326"/>
      <c r="N55" s="239" t="s">
        <v>467</v>
      </c>
      <c r="O55" s="350"/>
      <c r="P55" s="236">
        <v>9269.08</v>
      </c>
      <c r="Q55" s="237" t="s">
        <v>509</v>
      </c>
      <c r="R55" s="238"/>
      <c r="S55" s="236"/>
      <c r="T55" s="236"/>
      <c r="U55" s="323"/>
      <c r="V55" s="329"/>
      <c r="W55" s="368"/>
      <c r="X55" s="2">
        <v>58</v>
      </c>
    </row>
    <row r="56" spans="1:24" x14ac:dyDescent="0.25">
      <c r="A56" s="356"/>
      <c r="B56" s="327"/>
      <c r="C56" s="327"/>
      <c r="D56" s="327"/>
      <c r="E56" s="348"/>
      <c r="F56" s="351"/>
      <c r="G56" s="327"/>
      <c r="H56" s="324"/>
      <c r="I56" s="354"/>
      <c r="J56" s="327"/>
      <c r="K56" s="327"/>
      <c r="L56" s="327"/>
      <c r="M56" s="327"/>
      <c r="N56" s="235" t="s">
        <v>467</v>
      </c>
      <c r="O56" s="351"/>
      <c r="P56" s="231">
        <v>7583.79</v>
      </c>
      <c r="Q56" s="232" t="s">
        <v>509</v>
      </c>
      <c r="R56" s="233"/>
      <c r="S56" s="231"/>
      <c r="T56" s="231"/>
      <c r="U56" s="324"/>
      <c r="V56" s="330"/>
      <c r="W56" s="358"/>
      <c r="X56" s="2">
        <v>58</v>
      </c>
    </row>
    <row r="57" spans="1:24" s="85" customFormat="1" ht="72" customHeight="1" x14ac:dyDescent="0.25">
      <c r="A57" s="331">
        <v>11</v>
      </c>
      <c r="B57" s="340" t="s">
        <v>56</v>
      </c>
      <c r="C57" s="340"/>
      <c r="D57" s="340"/>
      <c r="E57" s="362" t="s">
        <v>293</v>
      </c>
      <c r="F57" s="334" t="s">
        <v>283</v>
      </c>
      <c r="G57" s="340" t="s">
        <v>294</v>
      </c>
      <c r="H57" s="337">
        <v>46200</v>
      </c>
      <c r="I57" s="365">
        <f>IF(X57 = 59, H57 + SUM(S57:S61) - SUM(T57:T61) - SUM(P57:P61) - V57,0)</f>
        <v>0</v>
      </c>
      <c r="J57" s="340" t="s">
        <v>285</v>
      </c>
      <c r="K57" s="340" t="s">
        <v>286</v>
      </c>
      <c r="L57" s="340"/>
      <c r="M57" s="340" t="s">
        <v>287</v>
      </c>
      <c r="N57" s="204" t="s">
        <v>307</v>
      </c>
      <c r="O57" s="334" t="s">
        <v>288</v>
      </c>
      <c r="P57" s="197">
        <v>5800</v>
      </c>
      <c r="Q57" s="196" t="s">
        <v>313</v>
      </c>
      <c r="R57" s="195"/>
      <c r="S57" s="197"/>
      <c r="T57" s="197"/>
      <c r="U57" s="337" t="s">
        <v>515</v>
      </c>
      <c r="V57" s="343">
        <v>16750</v>
      </c>
      <c r="W57" s="359"/>
      <c r="X57" s="85">
        <v>59</v>
      </c>
    </row>
    <row r="58" spans="1:24" x14ac:dyDescent="0.25">
      <c r="A58" s="332"/>
      <c r="B58" s="341"/>
      <c r="C58" s="341"/>
      <c r="D58" s="341"/>
      <c r="E58" s="363"/>
      <c r="F58" s="335"/>
      <c r="G58" s="341"/>
      <c r="H58" s="338"/>
      <c r="I58" s="366"/>
      <c r="J58" s="341"/>
      <c r="K58" s="341"/>
      <c r="L58" s="341"/>
      <c r="M58" s="341"/>
      <c r="N58" s="205" t="s">
        <v>345</v>
      </c>
      <c r="O58" s="335"/>
      <c r="P58" s="198">
        <v>5475</v>
      </c>
      <c r="Q58" s="199" t="s">
        <v>355</v>
      </c>
      <c r="R58" s="200"/>
      <c r="S58" s="198"/>
      <c r="T58" s="198"/>
      <c r="U58" s="338"/>
      <c r="V58" s="344"/>
      <c r="W58" s="360"/>
      <c r="X58" s="2">
        <v>59</v>
      </c>
    </row>
    <row r="59" spans="1:24" x14ac:dyDescent="0.25">
      <c r="A59" s="332"/>
      <c r="B59" s="341"/>
      <c r="C59" s="341"/>
      <c r="D59" s="341"/>
      <c r="E59" s="363"/>
      <c r="F59" s="335"/>
      <c r="G59" s="341"/>
      <c r="H59" s="338"/>
      <c r="I59" s="366"/>
      <c r="J59" s="341"/>
      <c r="K59" s="341"/>
      <c r="L59" s="341"/>
      <c r="M59" s="341"/>
      <c r="N59" s="205" t="s">
        <v>383</v>
      </c>
      <c r="O59" s="335"/>
      <c r="P59" s="198">
        <v>6125</v>
      </c>
      <c r="Q59" s="199" t="s">
        <v>375</v>
      </c>
      <c r="R59" s="200"/>
      <c r="S59" s="198"/>
      <c r="T59" s="198"/>
      <c r="U59" s="338"/>
      <c r="V59" s="344"/>
      <c r="W59" s="360"/>
      <c r="X59" s="2">
        <v>59</v>
      </c>
    </row>
    <row r="60" spans="1:24" x14ac:dyDescent="0.25">
      <c r="A60" s="332"/>
      <c r="B60" s="341"/>
      <c r="C60" s="341"/>
      <c r="D60" s="341"/>
      <c r="E60" s="363"/>
      <c r="F60" s="335"/>
      <c r="G60" s="341"/>
      <c r="H60" s="338"/>
      <c r="I60" s="366"/>
      <c r="J60" s="341"/>
      <c r="K60" s="341"/>
      <c r="L60" s="341"/>
      <c r="M60" s="341"/>
      <c r="N60" s="205" t="s">
        <v>459</v>
      </c>
      <c r="O60" s="335"/>
      <c r="P60" s="198">
        <v>7275</v>
      </c>
      <c r="Q60" s="199" t="s">
        <v>463</v>
      </c>
      <c r="R60" s="200"/>
      <c r="S60" s="198"/>
      <c r="T60" s="198"/>
      <c r="U60" s="338"/>
      <c r="V60" s="344"/>
      <c r="W60" s="360"/>
      <c r="X60" s="2">
        <v>59</v>
      </c>
    </row>
    <row r="61" spans="1:24" x14ac:dyDescent="0.25">
      <c r="A61" s="333"/>
      <c r="B61" s="342"/>
      <c r="C61" s="342"/>
      <c r="D61" s="342"/>
      <c r="E61" s="364"/>
      <c r="F61" s="336"/>
      <c r="G61" s="342"/>
      <c r="H61" s="339"/>
      <c r="I61" s="367"/>
      <c r="J61" s="342"/>
      <c r="K61" s="342"/>
      <c r="L61" s="342"/>
      <c r="M61" s="342"/>
      <c r="N61" s="206" t="s">
        <v>467</v>
      </c>
      <c r="O61" s="336"/>
      <c r="P61" s="201">
        <v>4775</v>
      </c>
      <c r="Q61" s="202" t="s">
        <v>470</v>
      </c>
      <c r="R61" s="203"/>
      <c r="S61" s="201"/>
      <c r="T61" s="201"/>
      <c r="U61" s="339"/>
      <c r="V61" s="345"/>
      <c r="W61" s="361"/>
      <c r="X61" s="2">
        <v>59</v>
      </c>
    </row>
    <row r="62" spans="1:24" s="85" customFormat="1" ht="72" customHeight="1" x14ac:dyDescent="0.25">
      <c r="A62" s="331">
        <v>12</v>
      </c>
      <c r="B62" s="340" t="s">
        <v>56</v>
      </c>
      <c r="C62" s="340"/>
      <c r="D62" s="340"/>
      <c r="E62" s="362" t="s">
        <v>320</v>
      </c>
      <c r="F62" s="334" t="s">
        <v>283</v>
      </c>
      <c r="G62" s="340" t="s">
        <v>319</v>
      </c>
      <c r="H62" s="337">
        <v>10500</v>
      </c>
      <c r="I62" s="365">
        <f>IF(X62 = 60, H62 + SUM(S62:S67) - SUM(T62:T67) - SUM(P62:P67) - V62,0)</f>
        <v>0</v>
      </c>
      <c r="J62" s="340" t="s">
        <v>285</v>
      </c>
      <c r="K62" s="340" t="s">
        <v>286</v>
      </c>
      <c r="L62" s="340"/>
      <c r="M62" s="340" t="s">
        <v>287</v>
      </c>
      <c r="N62" s="204" t="s">
        <v>345</v>
      </c>
      <c r="O62" s="334" t="s">
        <v>288</v>
      </c>
      <c r="P62" s="197">
        <v>1375</v>
      </c>
      <c r="Q62" s="196" t="s">
        <v>349</v>
      </c>
      <c r="R62" s="195"/>
      <c r="S62" s="197"/>
      <c r="T62" s="197"/>
      <c r="U62" s="337" t="s">
        <v>515</v>
      </c>
      <c r="V62" s="343">
        <v>3700</v>
      </c>
      <c r="W62" s="359"/>
      <c r="X62" s="85">
        <v>60</v>
      </c>
    </row>
    <row r="63" spans="1:24" x14ac:dyDescent="0.25">
      <c r="A63" s="332"/>
      <c r="B63" s="341"/>
      <c r="C63" s="341"/>
      <c r="D63" s="341"/>
      <c r="E63" s="363"/>
      <c r="F63" s="335"/>
      <c r="G63" s="341"/>
      <c r="H63" s="338"/>
      <c r="I63" s="366"/>
      <c r="J63" s="341"/>
      <c r="K63" s="341"/>
      <c r="L63" s="341"/>
      <c r="M63" s="341"/>
      <c r="N63" s="205" t="s">
        <v>345</v>
      </c>
      <c r="O63" s="335"/>
      <c r="P63" s="198">
        <v>1375</v>
      </c>
      <c r="Q63" s="199" t="s">
        <v>349</v>
      </c>
      <c r="R63" s="200"/>
      <c r="S63" s="198"/>
      <c r="T63" s="198"/>
      <c r="U63" s="338"/>
      <c r="V63" s="344"/>
      <c r="W63" s="360"/>
      <c r="X63" s="2">
        <v>60</v>
      </c>
    </row>
    <row r="64" spans="1:24" x14ac:dyDescent="0.25">
      <c r="A64" s="332"/>
      <c r="B64" s="341"/>
      <c r="C64" s="341"/>
      <c r="D64" s="341"/>
      <c r="E64" s="363"/>
      <c r="F64" s="335"/>
      <c r="G64" s="341"/>
      <c r="H64" s="338"/>
      <c r="I64" s="366"/>
      <c r="J64" s="341"/>
      <c r="K64" s="341"/>
      <c r="L64" s="341"/>
      <c r="M64" s="341"/>
      <c r="N64" s="205" t="s">
        <v>345</v>
      </c>
      <c r="O64" s="335"/>
      <c r="P64" s="198">
        <v>-25</v>
      </c>
      <c r="Q64" s="199" t="s">
        <v>382</v>
      </c>
      <c r="R64" s="200"/>
      <c r="S64" s="198"/>
      <c r="T64" s="198"/>
      <c r="U64" s="338"/>
      <c r="V64" s="344"/>
      <c r="W64" s="360"/>
      <c r="X64" s="2">
        <v>60</v>
      </c>
    </row>
    <row r="65" spans="1:24" x14ac:dyDescent="0.25">
      <c r="A65" s="332"/>
      <c r="B65" s="341"/>
      <c r="C65" s="341"/>
      <c r="D65" s="341"/>
      <c r="E65" s="363"/>
      <c r="F65" s="335"/>
      <c r="G65" s="341"/>
      <c r="H65" s="338"/>
      <c r="I65" s="366"/>
      <c r="J65" s="341"/>
      <c r="K65" s="341"/>
      <c r="L65" s="341"/>
      <c r="M65" s="341"/>
      <c r="N65" s="205" t="s">
        <v>383</v>
      </c>
      <c r="O65" s="335"/>
      <c r="P65" s="198">
        <v>1425</v>
      </c>
      <c r="Q65" s="199" t="s">
        <v>377</v>
      </c>
      <c r="R65" s="200"/>
      <c r="S65" s="198"/>
      <c r="T65" s="198"/>
      <c r="U65" s="338"/>
      <c r="V65" s="344"/>
      <c r="W65" s="360"/>
      <c r="X65" s="2">
        <v>60</v>
      </c>
    </row>
    <row r="66" spans="1:24" x14ac:dyDescent="0.25">
      <c r="A66" s="332"/>
      <c r="B66" s="341"/>
      <c r="C66" s="341"/>
      <c r="D66" s="341"/>
      <c r="E66" s="363"/>
      <c r="F66" s="335"/>
      <c r="G66" s="341"/>
      <c r="H66" s="338"/>
      <c r="I66" s="366"/>
      <c r="J66" s="341"/>
      <c r="K66" s="341"/>
      <c r="L66" s="341"/>
      <c r="M66" s="341"/>
      <c r="N66" s="205" t="s">
        <v>459</v>
      </c>
      <c r="O66" s="335"/>
      <c r="P66" s="198">
        <v>1825</v>
      </c>
      <c r="Q66" s="199" t="s">
        <v>463</v>
      </c>
      <c r="R66" s="200"/>
      <c r="S66" s="198"/>
      <c r="T66" s="198"/>
      <c r="U66" s="338"/>
      <c r="V66" s="344"/>
      <c r="W66" s="360"/>
      <c r="X66" s="2">
        <v>60</v>
      </c>
    </row>
    <row r="67" spans="1:24" x14ac:dyDescent="0.25">
      <c r="A67" s="333"/>
      <c r="B67" s="342"/>
      <c r="C67" s="342"/>
      <c r="D67" s="342"/>
      <c r="E67" s="364"/>
      <c r="F67" s="336"/>
      <c r="G67" s="342"/>
      <c r="H67" s="339"/>
      <c r="I67" s="367"/>
      <c r="J67" s="342"/>
      <c r="K67" s="342"/>
      <c r="L67" s="342"/>
      <c r="M67" s="342"/>
      <c r="N67" s="206" t="s">
        <v>467</v>
      </c>
      <c r="O67" s="336"/>
      <c r="P67" s="201">
        <v>825</v>
      </c>
      <c r="Q67" s="202" t="s">
        <v>470</v>
      </c>
      <c r="R67" s="203"/>
      <c r="S67" s="201"/>
      <c r="T67" s="201"/>
      <c r="U67" s="339"/>
      <c r="V67" s="345"/>
      <c r="W67" s="361"/>
      <c r="X67" s="2">
        <v>60</v>
      </c>
    </row>
    <row r="68" spans="1:24" s="85" customFormat="1" ht="72" customHeight="1" x14ac:dyDescent="0.25">
      <c r="A68" s="331">
        <v>13</v>
      </c>
      <c r="B68" s="340" t="s">
        <v>56</v>
      </c>
      <c r="C68" s="340"/>
      <c r="D68" s="340"/>
      <c r="E68" s="362" t="s">
        <v>318</v>
      </c>
      <c r="F68" s="334" t="s">
        <v>283</v>
      </c>
      <c r="G68" s="340" t="s">
        <v>321</v>
      </c>
      <c r="H68" s="337">
        <v>40017.599999999999</v>
      </c>
      <c r="I68" s="365">
        <f>IF(X68 = 61, H68 + SUM(S68:S72) - SUM(T68:T72) - SUM(P68:P72) - V68,0)</f>
        <v>0</v>
      </c>
      <c r="J68" s="340" t="s">
        <v>285</v>
      </c>
      <c r="K68" s="340" t="s">
        <v>286</v>
      </c>
      <c r="L68" s="340"/>
      <c r="M68" s="340" t="s">
        <v>287</v>
      </c>
      <c r="N68" s="204" t="s">
        <v>345</v>
      </c>
      <c r="O68" s="334" t="s">
        <v>288</v>
      </c>
      <c r="P68" s="197">
        <v>5240.3999999999996</v>
      </c>
      <c r="Q68" s="196" t="s">
        <v>357</v>
      </c>
      <c r="R68" s="195"/>
      <c r="S68" s="197"/>
      <c r="T68" s="197"/>
      <c r="U68" s="337" t="s">
        <v>515</v>
      </c>
      <c r="V68" s="343">
        <v>14275.68</v>
      </c>
      <c r="W68" s="359"/>
      <c r="X68" s="85">
        <v>61</v>
      </c>
    </row>
    <row r="69" spans="1:24" ht="16.899999999999999" customHeight="1" x14ac:dyDescent="0.25">
      <c r="A69" s="332"/>
      <c r="B69" s="341"/>
      <c r="C69" s="341"/>
      <c r="D69" s="341"/>
      <c r="E69" s="363"/>
      <c r="F69" s="335"/>
      <c r="G69" s="341"/>
      <c r="H69" s="338"/>
      <c r="I69" s="366"/>
      <c r="J69" s="341"/>
      <c r="K69" s="341"/>
      <c r="L69" s="341"/>
      <c r="M69" s="341"/>
      <c r="N69" s="205" t="s">
        <v>345</v>
      </c>
      <c r="O69" s="335"/>
      <c r="P69" s="198">
        <v>4970.88</v>
      </c>
      <c r="Q69" s="199" t="s">
        <v>357</v>
      </c>
      <c r="R69" s="200"/>
      <c r="S69" s="198"/>
      <c r="T69" s="198"/>
      <c r="U69" s="338"/>
      <c r="V69" s="344"/>
      <c r="W69" s="360"/>
      <c r="X69" s="2">
        <v>61</v>
      </c>
    </row>
    <row r="70" spans="1:24" ht="22.9" customHeight="1" x14ac:dyDescent="0.25">
      <c r="A70" s="332"/>
      <c r="B70" s="341"/>
      <c r="C70" s="341"/>
      <c r="D70" s="341"/>
      <c r="E70" s="363"/>
      <c r="F70" s="335"/>
      <c r="G70" s="341"/>
      <c r="H70" s="338"/>
      <c r="I70" s="366"/>
      <c r="J70" s="341"/>
      <c r="K70" s="341"/>
      <c r="L70" s="341"/>
      <c r="M70" s="341"/>
      <c r="N70" s="205" t="s">
        <v>383</v>
      </c>
      <c r="O70" s="335"/>
      <c r="P70" s="198">
        <v>5430.96</v>
      </c>
      <c r="Q70" s="199" t="s">
        <v>376</v>
      </c>
      <c r="R70" s="200"/>
      <c r="S70" s="198"/>
      <c r="T70" s="198"/>
      <c r="U70" s="338"/>
      <c r="V70" s="344"/>
      <c r="W70" s="360"/>
      <c r="X70" s="2">
        <v>61</v>
      </c>
    </row>
    <row r="71" spans="1:24" x14ac:dyDescent="0.25">
      <c r="A71" s="332"/>
      <c r="B71" s="341"/>
      <c r="C71" s="341"/>
      <c r="D71" s="341"/>
      <c r="E71" s="363"/>
      <c r="F71" s="335"/>
      <c r="G71" s="341"/>
      <c r="H71" s="338"/>
      <c r="I71" s="366"/>
      <c r="J71" s="341"/>
      <c r="K71" s="341"/>
      <c r="L71" s="341"/>
      <c r="M71" s="341"/>
      <c r="N71" s="205" t="s">
        <v>459</v>
      </c>
      <c r="O71" s="335"/>
      <c r="P71" s="198">
        <v>6955.44</v>
      </c>
      <c r="Q71" s="199" t="s">
        <v>463</v>
      </c>
      <c r="R71" s="200"/>
      <c r="S71" s="198"/>
      <c r="T71" s="198"/>
      <c r="U71" s="338"/>
      <c r="V71" s="344"/>
      <c r="W71" s="360"/>
      <c r="X71" s="2">
        <v>61</v>
      </c>
    </row>
    <row r="72" spans="1:24" x14ac:dyDescent="0.25">
      <c r="A72" s="333"/>
      <c r="B72" s="342"/>
      <c r="C72" s="342"/>
      <c r="D72" s="342"/>
      <c r="E72" s="364"/>
      <c r="F72" s="336"/>
      <c r="G72" s="342"/>
      <c r="H72" s="339"/>
      <c r="I72" s="367"/>
      <c r="J72" s="342"/>
      <c r="K72" s="342"/>
      <c r="L72" s="342"/>
      <c r="M72" s="342"/>
      <c r="N72" s="206" t="s">
        <v>467</v>
      </c>
      <c r="O72" s="336"/>
      <c r="P72" s="201">
        <v>3144.24</v>
      </c>
      <c r="Q72" s="202" t="s">
        <v>470</v>
      </c>
      <c r="R72" s="203"/>
      <c r="S72" s="201"/>
      <c r="T72" s="201"/>
      <c r="U72" s="339"/>
      <c r="V72" s="345"/>
      <c r="W72" s="361"/>
      <c r="X72" s="2">
        <v>61</v>
      </c>
    </row>
    <row r="73" spans="1:24" s="85" customFormat="1" ht="118.9" customHeight="1" x14ac:dyDescent="0.25">
      <c r="A73" s="395">
        <v>14</v>
      </c>
      <c r="B73" s="375" t="s">
        <v>56</v>
      </c>
      <c r="C73" s="375"/>
      <c r="D73" s="375"/>
      <c r="E73" s="378" t="s">
        <v>409</v>
      </c>
      <c r="F73" s="381" t="s">
        <v>256</v>
      </c>
      <c r="G73" s="375" t="s">
        <v>410</v>
      </c>
      <c r="H73" s="384">
        <v>12096</v>
      </c>
      <c r="I73" s="387">
        <f>IF(X73 = 62, H73 + SUM(S73:S75) - SUM(T73:T75) - SUM(P73:P75) - V73,0)</f>
        <v>3024</v>
      </c>
      <c r="J73" s="375" t="s">
        <v>411</v>
      </c>
      <c r="K73" s="375" t="s">
        <v>412</v>
      </c>
      <c r="L73" s="375"/>
      <c r="M73" s="375" t="s">
        <v>214</v>
      </c>
      <c r="N73" s="257" t="s">
        <v>315</v>
      </c>
      <c r="O73" s="381" t="s">
        <v>413</v>
      </c>
      <c r="P73" s="253">
        <v>6048</v>
      </c>
      <c r="Q73" s="252" t="s">
        <v>466</v>
      </c>
      <c r="R73" s="251"/>
      <c r="S73" s="253"/>
      <c r="T73" s="253"/>
      <c r="U73" s="384"/>
      <c r="V73" s="369"/>
      <c r="W73" s="372"/>
      <c r="X73" s="85">
        <v>62</v>
      </c>
    </row>
    <row r="74" spans="1:24" x14ac:dyDescent="0.25">
      <c r="A74" s="396"/>
      <c r="B74" s="376"/>
      <c r="C74" s="376"/>
      <c r="D74" s="376"/>
      <c r="E74" s="379"/>
      <c r="F74" s="382"/>
      <c r="G74" s="376"/>
      <c r="H74" s="385"/>
      <c r="I74" s="388"/>
      <c r="J74" s="376"/>
      <c r="K74" s="376"/>
      <c r="L74" s="376"/>
      <c r="M74" s="376"/>
      <c r="N74" s="262" t="s">
        <v>371</v>
      </c>
      <c r="O74" s="382"/>
      <c r="P74" s="259">
        <v>1512</v>
      </c>
      <c r="Q74" s="260" t="s">
        <v>466</v>
      </c>
      <c r="R74" s="261"/>
      <c r="S74" s="259"/>
      <c r="T74" s="259"/>
      <c r="U74" s="385"/>
      <c r="V74" s="370"/>
      <c r="W74" s="373"/>
      <c r="X74" s="2">
        <v>62</v>
      </c>
    </row>
    <row r="75" spans="1:24" x14ac:dyDescent="0.25">
      <c r="A75" s="397"/>
      <c r="B75" s="377"/>
      <c r="C75" s="377"/>
      <c r="D75" s="377"/>
      <c r="E75" s="380"/>
      <c r="F75" s="383"/>
      <c r="G75" s="377"/>
      <c r="H75" s="386"/>
      <c r="I75" s="389"/>
      <c r="J75" s="377"/>
      <c r="K75" s="377"/>
      <c r="L75" s="377"/>
      <c r="M75" s="377"/>
      <c r="N75" s="258" t="s">
        <v>562</v>
      </c>
      <c r="O75" s="383"/>
      <c r="P75" s="254">
        <v>1512</v>
      </c>
      <c r="Q75" s="255" t="s">
        <v>569</v>
      </c>
      <c r="R75" s="256"/>
      <c r="S75" s="254"/>
      <c r="T75" s="254"/>
      <c r="U75" s="386"/>
      <c r="V75" s="371"/>
      <c r="W75" s="374"/>
      <c r="X75" s="2">
        <v>62</v>
      </c>
    </row>
    <row r="76" spans="1:24" s="85" customFormat="1" ht="144" customHeight="1" x14ac:dyDescent="0.25">
      <c r="A76" s="399">
        <v>15</v>
      </c>
      <c r="B76" s="405" t="s">
        <v>56</v>
      </c>
      <c r="C76" s="405"/>
      <c r="D76" s="405"/>
      <c r="E76" s="411" t="s">
        <v>331</v>
      </c>
      <c r="F76" s="401" t="s">
        <v>332</v>
      </c>
      <c r="G76" s="405" t="s">
        <v>333</v>
      </c>
      <c r="H76" s="403">
        <v>2800</v>
      </c>
      <c r="I76" s="413">
        <f>IF(X76 = 63, H76 + SUM(S76:S77) - SUM(T76:T77) - SUM(P76:P77) - V76,0)</f>
        <v>0</v>
      </c>
      <c r="J76" s="405" t="s">
        <v>334</v>
      </c>
      <c r="K76" s="405" t="s">
        <v>335</v>
      </c>
      <c r="L76" s="405"/>
      <c r="M76" s="405" t="s">
        <v>336</v>
      </c>
      <c r="N76" s="173" t="s">
        <v>356</v>
      </c>
      <c r="O76" s="401" t="s">
        <v>343</v>
      </c>
      <c r="P76" s="166">
        <v>840</v>
      </c>
      <c r="Q76" s="165" t="s">
        <v>352</v>
      </c>
      <c r="R76" s="164"/>
      <c r="S76" s="166"/>
      <c r="T76" s="166"/>
      <c r="U76" s="403"/>
      <c r="V76" s="407"/>
      <c r="W76" s="409"/>
      <c r="X76" s="85">
        <v>63</v>
      </c>
    </row>
    <row r="77" spans="1:24" x14ac:dyDescent="0.25">
      <c r="A77" s="400"/>
      <c r="B77" s="406"/>
      <c r="C77" s="406"/>
      <c r="D77" s="406"/>
      <c r="E77" s="412"/>
      <c r="F77" s="402"/>
      <c r="G77" s="406"/>
      <c r="H77" s="404"/>
      <c r="I77" s="414"/>
      <c r="J77" s="406"/>
      <c r="K77" s="406"/>
      <c r="L77" s="406"/>
      <c r="M77" s="406"/>
      <c r="N77" s="175" t="s">
        <v>371</v>
      </c>
      <c r="O77" s="402"/>
      <c r="P77" s="170">
        <v>1960</v>
      </c>
      <c r="Q77" s="171" t="s">
        <v>370</v>
      </c>
      <c r="R77" s="172"/>
      <c r="S77" s="170"/>
      <c r="T77" s="170"/>
      <c r="U77" s="404"/>
      <c r="V77" s="408"/>
      <c r="W77" s="410"/>
      <c r="X77" s="2">
        <v>63</v>
      </c>
    </row>
    <row r="78" spans="1:24" s="85" customFormat="1" ht="112.5" x14ac:dyDescent="0.25">
      <c r="A78" s="145">
        <v>16</v>
      </c>
      <c r="B78" s="147" t="s">
        <v>56</v>
      </c>
      <c r="C78" s="147"/>
      <c r="D78" s="147"/>
      <c r="E78" s="150" t="s">
        <v>337</v>
      </c>
      <c r="F78" s="152" t="s">
        <v>338</v>
      </c>
      <c r="G78" s="147" t="s">
        <v>339</v>
      </c>
      <c r="H78" s="146">
        <v>40920</v>
      </c>
      <c r="I78" s="151">
        <f>IF(X78 = 64, H78 + SUM(S78:S78) - SUM(T78:T78) - SUM(P78:P78) - V78,0)</f>
        <v>0</v>
      </c>
      <c r="J78" s="147" t="s">
        <v>340</v>
      </c>
      <c r="K78" s="147" t="s">
        <v>341</v>
      </c>
      <c r="L78" s="147"/>
      <c r="M78" s="147" t="s">
        <v>342</v>
      </c>
      <c r="N78" s="152" t="s">
        <v>353</v>
      </c>
      <c r="O78" s="131" t="s">
        <v>330</v>
      </c>
      <c r="P78" s="146">
        <v>40920</v>
      </c>
      <c r="Q78" s="150" t="s">
        <v>352</v>
      </c>
      <c r="R78" s="147"/>
      <c r="S78" s="146"/>
      <c r="T78" s="146"/>
      <c r="U78" s="146"/>
      <c r="V78" s="148"/>
      <c r="W78" s="149"/>
      <c r="X78" s="85">
        <v>64</v>
      </c>
    </row>
    <row r="79" spans="1:24" s="85" customFormat="1" ht="96" customHeight="1" x14ac:dyDescent="0.25">
      <c r="A79" s="162">
        <v>17</v>
      </c>
      <c r="B79" s="157" t="s">
        <v>56</v>
      </c>
      <c r="C79" s="157"/>
      <c r="D79" s="157"/>
      <c r="E79" s="159" t="s">
        <v>358</v>
      </c>
      <c r="F79" s="163" t="s">
        <v>359</v>
      </c>
      <c r="G79" s="147" t="s">
        <v>327</v>
      </c>
      <c r="H79" s="160">
        <v>1900</v>
      </c>
      <c r="I79" s="161">
        <f>IF(X79 = 65, H79 + SUM(S79:S79) - SUM(T79:T79) - SUM(P79:P79) - V79,0)</f>
        <v>0</v>
      </c>
      <c r="J79" s="147" t="s">
        <v>328</v>
      </c>
      <c r="K79" s="147" t="s">
        <v>329</v>
      </c>
      <c r="L79" s="157"/>
      <c r="M79" s="147" t="s">
        <v>360</v>
      </c>
      <c r="N79" s="163" t="s">
        <v>370</v>
      </c>
      <c r="O79" s="131" t="s">
        <v>330</v>
      </c>
      <c r="P79" s="160">
        <v>1900</v>
      </c>
      <c r="Q79" s="159" t="s">
        <v>375</v>
      </c>
      <c r="R79" s="157"/>
      <c r="S79" s="160"/>
      <c r="T79" s="160"/>
      <c r="U79" s="160"/>
      <c r="V79" s="156"/>
      <c r="W79" s="158"/>
      <c r="X79" s="85">
        <v>65</v>
      </c>
    </row>
    <row r="80" spans="1:24" s="85" customFormat="1" ht="144" customHeight="1" x14ac:dyDescent="0.25">
      <c r="A80" s="176">
        <v>18</v>
      </c>
      <c r="B80" s="177" t="s">
        <v>56</v>
      </c>
      <c r="C80" s="177"/>
      <c r="D80" s="177"/>
      <c r="E80" s="178" t="s">
        <v>364</v>
      </c>
      <c r="F80" s="182" t="s">
        <v>365</v>
      </c>
      <c r="G80" s="177" t="s">
        <v>339</v>
      </c>
      <c r="H80" s="179">
        <v>9656</v>
      </c>
      <c r="I80" s="180">
        <f>IF(X80 = 66, H80 + SUM(S80:S80) - SUM(T80:T80) - SUM(P80:P80) - V80,0)</f>
        <v>0</v>
      </c>
      <c r="J80" s="177" t="s">
        <v>366</v>
      </c>
      <c r="K80" s="177" t="s">
        <v>367</v>
      </c>
      <c r="L80" s="177"/>
      <c r="M80" s="177" t="s">
        <v>368</v>
      </c>
      <c r="N80" s="182" t="s">
        <v>376</v>
      </c>
      <c r="O80" s="182" t="s">
        <v>369</v>
      </c>
      <c r="P80" s="179">
        <v>9656</v>
      </c>
      <c r="Q80" s="178" t="s">
        <v>380</v>
      </c>
      <c r="R80" s="177"/>
      <c r="S80" s="179"/>
      <c r="T80" s="179"/>
      <c r="U80" s="179"/>
      <c r="V80" s="183"/>
      <c r="W80" s="181"/>
      <c r="X80" s="85">
        <v>66</v>
      </c>
    </row>
    <row r="81" spans="1:24" s="85" customFormat="1" ht="93.75" x14ac:dyDescent="0.25">
      <c r="A81" s="185">
        <v>19</v>
      </c>
      <c r="B81" s="186" t="s">
        <v>56</v>
      </c>
      <c r="C81" s="186"/>
      <c r="D81" s="186"/>
      <c r="E81" s="187" t="s">
        <v>385</v>
      </c>
      <c r="F81" s="191" t="s">
        <v>386</v>
      </c>
      <c r="G81" s="186" t="s">
        <v>387</v>
      </c>
      <c r="H81" s="188">
        <v>4000</v>
      </c>
      <c r="I81" s="189">
        <f>IF(X81 = 67, H81 + SUM(S81:S81) - SUM(T81:T81) - SUM(P81:P81) - V81,0)</f>
        <v>0</v>
      </c>
      <c r="J81" s="186" t="s">
        <v>388</v>
      </c>
      <c r="K81" s="186" t="s">
        <v>389</v>
      </c>
      <c r="L81" s="186"/>
      <c r="M81" s="186" t="s">
        <v>390</v>
      </c>
      <c r="N81" s="191" t="s">
        <v>458</v>
      </c>
      <c r="O81" s="182" t="s">
        <v>391</v>
      </c>
      <c r="P81" s="188">
        <v>4000</v>
      </c>
      <c r="Q81" s="187" t="s">
        <v>457</v>
      </c>
      <c r="R81" s="186"/>
      <c r="S81" s="188"/>
      <c r="T81" s="188"/>
      <c r="U81" s="188"/>
      <c r="V81" s="190"/>
      <c r="W81" s="184"/>
      <c r="X81" s="85">
        <v>67</v>
      </c>
    </row>
    <row r="82" spans="1:24" s="85" customFormat="1" ht="93.75" x14ac:dyDescent="0.25">
      <c r="A82" s="185">
        <v>20</v>
      </c>
      <c r="B82" s="186" t="s">
        <v>56</v>
      </c>
      <c r="C82" s="186"/>
      <c r="D82" s="186"/>
      <c r="E82" s="187" t="s">
        <v>392</v>
      </c>
      <c r="F82" s="191" t="s">
        <v>393</v>
      </c>
      <c r="G82" s="186" t="s">
        <v>394</v>
      </c>
      <c r="H82" s="188">
        <v>7500</v>
      </c>
      <c r="I82" s="189">
        <f>IF(X82 = 68, H82 + SUM(S82:S82) - SUM(T82:T82) - SUM(P82:P82) - V82,0)</f>
        <v>0</v>
      </c>
      <c r="J82" s="186" t="s">
        <v>395</v>
      </c>
      <c r="K82" s="186" t="s">
        <v>396</v>
      </c>
      <c r="L82" s="186"/>
      <c r="M82" s="186" t="s">
        <v>397</v>
      </c>
      <c r="N82" s="191" t="s">
        <v>462</v>
      </c>
      <c r="O82" s="191" t="s">
        <v>398</v>
      </c>
      <c r="P82" s="188">
        <v>7500</v>
      </c>
      <c r="Q82" s="187" t="s">
        <v>463</v>
      </c>
      <c r="R82" s="186"/>
      <c r="S82" s="188"/>
      <c r="T82" s="188"/>
      <c r="U82" s="188"/>
      <c r="V82" s="190"/>
      <c r="W82" s="184"/>
      <c r="X82" s="85">
        <v>68</v>
      </c>
    </row>
    <row r="83" spans="1:24" s="85" customFormat="1" ht="93.75" x14ac:dyDescent="0.25">
      <c r="A83" s="185">
        <v>21</v>
      </c>
      <c r="B83" s="186" t="s">
        <v>56</v>
      </c>
      <c r="C83" s="186"/>
      <c r="D83" s="186"/>
      <c r="E83" s="187" t="s">
        <v>414</v>
      </c>
      <c r="F83" s="191" t="s">
        <v>416</v>
      </c>
      <c r="G83" s="186" t="s">
        <v>417</v>
      </c>
      <c r="H83" s="188">
        <v>26589</v>
      </c>
      <c r="I83" s="189">
        <f>IF(X83 = 69, H83 + SUM(S83:S83) - SUM(T83:T83) - SUM(P83:P83) - V83,0)</f>
        <v>0</v>
      </c>
      <c r="J83" s="186" t="s">
        <v>418</v>
      </c>
      <c r="K83" s="186" t="s">
        <v>419</v>
      </c>
      <c r="L83" s="186"/>
      <c r="M83" s="186" t="s">
        <v>420</v>
      </c>
      <c r="N83" s="191" t="s">
        <v>467</v>
      </c>
      <c r="O83" s="131" t="s">
        <v>421</v>
      </c>
      <c r="P83" s="188">
        <v>26589</v>
      </c>
      <c r="Q83" s="187" t="s">
        <v>469</v>
      </c>
      <c r="R83" s="186"/>
      <c r="S83" s="188"/>
      <c r="T83" s="188"/>
      <c r="U83" s="188"/>
      <c r="V83" s="190"/>
      <c r="W83" s="184"/>
      <c r="X83" s="85">
        <v>69</v>
      </c>
    </row>
    <row r="84" spans="1:24" s="85" customFormat="1" ht="93.75" x14ac:dyDescent="0.25">
      <c r="A84" s="185">
        <v>22</v>
      </c>
      <c r="B84" s="186" t="s">
        <v>56</v>
      </c>
      <c r="C84" s="186"/>
      <c r="D84" s="186"/>
      <c r="E84" s="187" t="s">
        <v>415</v>
      </c>
      <c r="F84" s="191" t="s">
        <v>416</v>
      </c>
      <c r="G84" s="186" t="s">
        <v>417</v>
      </c>
      <c r="H84" s="188">
        <v>10227</v>
      </c>
      <c r="I84" s="189">
        <f>IF(X84 = 70, H84 + SUM(S84:S84) - SUM(T84:T84) - SUM(P84:P84) - V84,0)</f>
        <v>0</v>
      </c>
      <c r="J84" s="186" t="s">
        <v>418</v>
      </c>
      <c r="K84" s="186" t="s">
        <v>419</v>
      </c>
      <c r="L84" s="186"/>
      <c r="M84" s="186" t="s">
        <v>420</v>
      </c>
      <c r="N84" s="191" t="s">
        <v>467</v>
      </c>
      <c r="O84" s="131" t="s">
        <v>422</v>
      </c>
      <c r="P84" s="188">
        <v>10227</v>
      </c>
      <c r="Q84" s="187" t="s">
        <v>469</v>
      </c>
      <c r="R84" s="186"/>
      <c r="S84" s="188"/>
      <c r="T84" s="188"/>
      <c r="U84" s="188"/>
      <c r="V84" s="190"/>
      <c r="W84" s="184"/>
      <c r="X84" s="85">
        <v>70</v>
      </c>
    </row>
    <row r="85" spans="1:24" s="85" customFormat="1" ht="90" customHeight="1" x14ac:dyDescent="0.25">
      <c r="A85" s="355">
        <v>23</v>
      </c>
      <c r="B85" s="325" t="s">
        <v>56</v>
      </c>
      <c r="C85" s="325"/>
      <c r="D85" s="325"/>
      <c r="E85" s="346" t="s">
        <v>429</v>
      </c>
      <c r="F85" s="349" t="s">
        <v>430</v>
      </c>
      <c r="G85" s="325" t="s">
        <v>431</v>
      </c>
      <c r="H85" s="322">
        <v>9760</v>
      </c>
      <c r="I85" s="352">
        <f>IF(X85 = 71, H85 + SUM(S85:S86) - SUM(T85:T86) - SUM(P85:P86) - V85,0)</f>
        <v>0</v>
      </c>
      <c r="J85" s="325" t="s">
        <v>432</v>
      </c>
      <c r="K85" s="325" t="s">
        <v>433</v>
      </c>
      <c r="L85" s="325"/>
      <c r="M85" s="325" t="s">
        <v>434</v>
      </c>
      <c r="N85" s="234" t="s">
        <v>465</v>
      </c>
      <c r="O85" s="349" t="s">
        <v>422</v>
      </c>
      <c r="P85" s="230">
        <v>6328</v>
      </c>
      <c r="Q85" s="229" t="s">
        <v>505</v>
      </c>
      <c r="R85" s="228"/>
      <c r="S85" s="230"/>
      <c r="T85" s="230"/>
      <c r="U85" s="322"/>
      <c r="V85" s="328"/>
      <c r="W85" s="357"/>
      <c r="X85" s="85">
        <v>71</v>
      </c>
    </row>
    <row r="86" spans="1:24" x14ac:dyDescent="0.25">
      <c r="A86" s="356"/>
      <c r="B86" s="327"/>
      <c r="C86" s="327"/>
      <c r="D86" s="327"/>
      <c r="E86" s="348"/>
      <c r="F86" s="351"/>
      <c r="G86" s="327"/>
      <c r="H86" s="324"/>
      <c r="I86" s="354"/>
      <c r="J86" s="327"/>
      <c r="K86" s="327"/>
      <c r="L86" s="327"/>
      <c r="M86" s="327"/>
      <c r="N86" s="235" t="s">
        <v>465</v>
      </c>
      <c r="O86" s="351"/>
      <c r="P86" s="231">
        <v>3432</v>
      </c>
      <c r="Q86" s="232" t="s">
        <v>505</v>
      </c>
      <c r="R86" s="233"/>
      <c r="S86" s="231"/>
      <c r="T86" s="231"/>
      <c r="U86" s="324"/>
      <c r="V86" s="330"/>
      <c r="W86" s="358"/>
      <c r="X86" s="2">
        <v>71</v>
      </c>
    </row>
    <row r="87" spans="1:24" s="85" customFormat="1" ht="112.5" x14ac:dyDescent="0.25">
      <c r="A87" s="185">
        <v>24</v>
      </c>
      <c r="B87" s="186" t="s">
        <v>56</v>
      </c>
      <c r="C87" s="186"/>
      <c r="D87" s="186"/>
      <c r="E87" s="187" t="s">
        <v>448</v>
      </c>
      <c r="F87" s="191" t="s">
        <v>449</v>
      </c>
      <c r="G87" s="186" t="s">
        <v>450</v>
      </c>
      <c r="H87" s="188">
        <v>14119.47</v>
      </c>
      <c r="I87" s="189">
        <f>IF(X87 = 72, H87 + SUM(S87:S87) - SUM(T87:T87) - SUM(P87:P87) - V87,0)</f>
        <v>0</v>
      </c>
      <c r="J87" s="186" t="s">
        <v>451</v>
      </c>
      <c r="K87" s="186" t="s">
        <v>452</v>
      </c>
      <c r="L87" s="186"/>
      <c r="M87" s="186" t="s">
        <v>453</v>
      </c>
      <c r="N87" s="191" t="s">
        <v>505</v>
      </c>
      <c r="O87" s="191" t="s">
        <v>454</v>
      </c>
      <c r="P87" s="188">
        <v>14119.47</v>
      </c>
      <c r="Q87" s="187" t="s">
        <v>507</v>
      </c>
      <c r="R87" s="186"/>
      <c r="S87" s="188"/>
      <c r="T87" s="188"/>
      <c r="U87" s="188"/>
      <c r="V87" s="190"/>
      <c r="W87" s="184"/>
      <c r="X87" s="85">
        <v>72</v>
      </c>
    </row>
    <row r="88" spans="1:24" s="85" customFormat="1" ht="131.25" x14ac:dyDescent="0.25">
      <c r="A88" s="217">
        <v>25</v>
      </c>
      <c r="B88" s="218" t="s">
        <v>56</v>
      </c>
      <c r="C88" s="218"/>
      <c r="D88" s="218"/>
      <c r="E88" s="219" t="s">
        <v>471</v>
      </c>
      <c r="F88" s="223" t="s">
        <v>472</v>
      </c>
      <c r="G88" s="218" t="s">
        <v>473</v>
      </c>
      <c r="H88" s="220">
        <v>151641.60000000001</v>
      </c>
      <c r="I88" s="221">
        <f>IF(X88 = 73, H88 + SUM(S88:S88) - SUM(T88:T88) - SUM(P88:P88) - V88,0)</f>
        <v>0</v>
      </c>
      <c r="J88" s="218" t="s">
        <v>474</v>
      </c>
      <c r="K88" s="218" t="s">
        <v>475</v>
      </c>
      <c r="L88" s="218"/>
      <c r="M88" s="218" t="s">
        <v>476</v>
      </c>
      <c r="N88" s="223" t="s">
        <v>560</v>
      </c>
      <c r="O88" s="223" t="s">
        <v>477</v>
      </c>
      <c r="P88" s="220">
        <v>151641.60000000001</v>
      </c>
      <c r="Q88" s="219" t="s">
        <v>573</v>
      </c>
      <c r="R88" s="218"/>
      <c r="S88" s="220"/>
      <c r="T88" s="220"/>
      <c r="U88" s="220"/>
      <c r="V88" s="222"/>
      <c r="W88" s="213"/>
      <c r="X88" s="85">
        <v>73</v>
      </c>
    </row>
    <row r="89" spans="1:24" s="85" customFormat="1" ht="112.5" x14ac:dyDescent="0.25">
      <c r="A89" s="217">
        <v>26</v>
      </c>
      <c r="B89" s="218" t="s">
        <v>56</v>
      </c>
      <c r="C89" s="218"/>
      <c r="D89" s="218"/>
      <c r="E89" s="219" t="s">
        <v>478</v>
      </c>
      <c r="F89" s="223" t="s">
        <v>479</v>
      </c>
      <c r="G89" s="218" t="s">
        <v>480</v>
      </c>
      <c r="H89" s="220">
        <v>14402</v>
      </c>
      <c r="I89" s="221">
        <f>IF(X89 = 74, H89 + SUM(S89:S89) - SUM(T89:T89) - SUM(P89:P89) - V89,0)</f>
        <v>0</v>
      </c>
      <c r="J89" s="218" t="s">
        <v>481</v>
      </c>
      <c r="K89" s="218" t="s">
        <v>482</v>
      </c>
      <c r="L89" s="218"/>
      <c r="M89" s="218" t="s">
        <v>483</v>
      </c>
      <c r="N89" s="223" t="s">
        <v>463</v>
      </c>
      <c r="O89" s="223" t="s">
        <v>484</v>
      </c>
      <c r="P89" s="220">
        <v>14402</v>
      </c>
      <c r="Q89" s="219" t="s">
        <v>561</v>
      </c>
      <c r="R89" s="218"/>
      <c r="S89" s="220"/>
      <c r="T89" s="220"/>
      <c r="U89" s="220"/>
      <c r="V89" s="222"/>
      <c r="W89" s="213"/>
      <c r="X89" s="85">
        <v>74</v>
      </c>
    </row>
    <row r="90" spans="1:24" s="85" customFormat="1" ht="160.9" customHeight="1" x14ac:dyDescent="0.25">
      <c r="A90" s="217">
        <v>27</v>
      </c>
      <c r="B90" s="218" t="s">
        <v>56</v>
      </c>
      <c r="C90" s="218"/>
      <c r="D90" s="218"/>
      <c r="E90" s="219" t="s">
        <v>495</v>
      </c>
      <c r="F90" s="223" t="s">
        <v>496</v>
      </c>
      <c r="G90" s="218" t="s">
        <v>497</v>
      </c>
      <c r="H90" s="220">
        <v>28000</v>
      </c>
      <c r="I90" s="221">
        <f>IF(X90 = 75, H90 + SUM(S90:S90) - SUM(T90:T90) - SUM(P90:P90) - V90,0)</f>
        <v>28000</v>
      </c>
      <c r="J90" s="218" t="s">
        <v>498</v>
      </c>
      <c r="K90" s="218" t="s">
        <v>499</v>
      </c>
      <c r="L90" s="218"/>
      <c r="M90" s="218" t="s">
        <v>500</v>
      </c>
      <c r="N90" s="223"/>
      <c r="O90" s="223" t="s">
        <v>501</v>
      </c>
      <c r="P90" s="220"/>
      <c r="Q90" s="219"/>
      <c r="R90" s="218"/>
      <c r="S90" s="220"/>
      <c r="T90" s="220"/>
      <c r="U90" s="220"/>
      <c r="V90" s="222"/>
      <c r="W90" s="213"/>
      <c r="X90" s="85">
        <v>75</v>
      </c>
    </row>
    <row r="91" spans="1:24" s="85" customFormat="1" ht="90" customHeight="1" x14ac:dyDescent="0.25">
      <c r="A91" s="395">
        <v>28</v>
      </c>
      <c r="B91" s="375" t="s">
        <v>56</v>
      </c>
      <c r="C91" s="375"/>
      <c r="D91" s="375"/>
      <c r="E91" s="378" t="s">
        <v>549</v>
      </c>
      <c r="F91" s="381" t="s">
        <v>532</v>
      </c>
      <c r="G91" s="375" t="s">
        <v>417</v>
      </c>
      <c r="H91" s="384">
        <v>102925</v>
      </c>
      <c r="I91" s="387">
        <f>IF(X91 = 76, H91 + SUM(S91:S92) - SUM(T91:T92) - SUM(P91:P92) - V91,0)</f>
        <v>0</v>
      </c>
      <c r="J91" s="375" t="s">
        <v>418</v>
      </c>
      <c r="K91" s="375" t="s">
        <v>419</v>
      </c>
      <c r="L91" s="375"/>
      <c r="M91" s="375" t="s">
        <v>533</v>
      </c>
      <c r="N91" s="257" t="s">
        <v>574</v>
      </c>
      <c r="O91" s="381" t="s">
        <v>422</v>
      </c>
      <c r="P91" s="253">
        <v>1823</v>
      </c>
      <c r="Q91" s="252" t="s">
        <v>575</v>
      </c>
      <c r="R91" s="251"/>
      <c r="S91" s="253"/>
      <c r="T91" s="253"/>
      <c r="U91" s="384"/>
      <c r="V91" s="369"/>
      <c r="W91" s="372"/>
      <c r="X91" s="85">
        <v>76</v>
      </c>
    </row>
    <row r="92" spans="1:24" x14ac:dyDescent="0.25">
      <c r="A92" s="397"/>
      <c r="B92" s="377"/>
      <c r="C92" s="377"/>
      <c r="D92" s="377"/>
      <c r="E92" s="380"/>
      <c r="F92" s="383"/>
      <c r="G92" s="377"/>
      <c r="H92" s="386"/>
      <c r="I92" s="389"/>
      <c r="J92" s="377"/>
      <c r="K92" s="377"/>
      <c r="L92" s="377"/>
      <c r="M92" s="377"/>
      <c r="N92" s="258" t="s">
        <v>574</v>
      </c>
      <c r="O92" s="383"/>
      <c r="P92" s="254">
        <v>101102</v>
      </c>
      <c r="Q92" s="255" t="s">
        <v>575</v>
      </c>
      <c r="R92" s="256"/>
      <c r="S92" s="254"/>
      <c r="T92" s="254"/>
      <c r="U92" s="386"/>
      <c r="V92" s="371"/>
      <c r="W92" s="374"/>
      <c r="X92" s="2">
        <v>76</v>
      </c>
    </row>
    <row r="93" spans="1:24" s="85" customFormat="1" ht="93.75" x14ac:dyDescent="0.25">
      <c r="A93" s="241">
        <v>29</v>
      </c>
      <c r="B93" s="242" t="s">
        <v>56</v>
      </c>
      <c r="C93" s="242"/>
      <c r="D93" s="242"/>
      <c r="E93" s="243" t="s">
        <v>550</v>
      </c>
      <c r="F93" s="249" t="s">
        <v>532</v>
      </c>
      <c r="G93" s="186" t="s">
        <v>417</v>
      </c>
      <c r="H93" s="244">
        <v>2950</v>
      </c>
      <c r="I93" s="245">
        <f>IF(X93 = 77, H93 + SUM(S93:S93) - SUM(T93:T93) - SUM(P93:P93) - V93,0)</f>
        <v>0</v>
      </c>
      <c r="J93" s="186" t="s">
        <v>418</v>
      </c>
      <c r="K93" s="186" t="s">
        <v>419</v>
      </c>
      <c r="L93" s="242"/>
      <c r="M93" s="186" t="s">
        <v>533</v>
      </c>
      <c r="N93" s="249" t="s">
        <v>574</v>
      </c>
      <c r="O93" s="131" t="s">
        <v>422</v>
      </c>
      <c r="P93" s="244">
        <v>2950</v>
      </c>
      <c r="Q93" s="243" t="s">
        <v>575</v>
      </c>
      <c r="R93" s="242"/>
      <c r="S93" s="244"/>
      <c r="T93" s="244"/>
      <c r="U93" s="244"/>
      <c r="V93" s="250"/>
      <c r="W93" s="240"/>
      <c r="X93" s="85">
        <v>77</v>
      </c>
    </row>
    <row r="94" spans="1:24" s="85" customFormat="1" ht="112.5" x14ac:dyDescent="0.25">
      <c r="A94" s="241">
        <v>30</v>
      </c>
      <c r="B94" s="242" t="s">
        <v>56</v>
      </c>
      <c r="C94" s="242"/>
      <c r="D94" s="242"/>
      <c r="E94" s="243" t="s">
        <v>546</v>
      </c>
      <c r="F94" s="249" t="s">
        <v>534</v>
      </c>
      <c r="G94" s="242" t="s">
        <v>536</v>
      </c>
      <c r="H94" s="244">
        <v>19000</v>
      </c>
      <c r="I94" s="245">
        <f>IF(X94 = 78, H94 + SUM(S94:S94) - SUM(T94:T94) - SUM(P94:P94) - V94,0)</f>
        <v>19000</v>
      </c>
      <c r="J94" s="242" t="s">
        <v>537</v>
      </c>
      <c r="K94" s="242" t="s">
        <v>538</v>
      </c>
      <c r="L94" s="242"/>
      <c r="M94" s="242" t="s">
        <v>539</v>
      </c>
      <c r="N94" s="249"/>
      <c r="O94" s="131" t="s">
        <v>540</v>
      </c>
      <c r="P94" s="244"/>
      <c r="Q94" s="243"/>
      <c r="R94" s="242"/>
      <c r="S94" s="244"/>
      <c r="T94" s="244"/>
      <c r="U94" s="244"/>
      <c r="V94" s="250"/>
      <c r="W94" s="240"/>
      <c r="X94" s="85">
        <v>78</v>
      </c>
    </row>
    <row r="95" spans="1:24" s="85" customFormat="1" ht="131.25" x14ac:dyDescent="0.25">
      <c r="A95" s="241">
        <v>31</v>
      </c>
      <c r="B95" s="242" t="s">
        <v>56</v>
      </c>
      <c r="C95" s="242"/>
      <c r="D95" s="242"/>
      <c r="E95" s="243" t="s">
        <v>547</v>
      </c>
      <c r="F95" s="249" t="s">
        <v>535</v>
      </c>
      <c r="G95" s="242" t="s">
        <v>541</v>
      </c>
      <c r="H95" s="244">
        <v>6000</v>
      </c>
      <c r="I95" s="245">
        <f>IF(X95 = 79, H95 + SUM(S95:S95) - SUM(T95:T95) - SUM(P95:P95) - V95,0)</f>
        <v>0</v>
      </c>
      <c r="J95" s="242" t="s">
        <v>328</v>
      </c>
      <c r="K95" s="242" t="s">
        <v>329</v>
      </c>
      <c r="L95" s="242"/>
      <c r="M95" s="242" t="s">
        <v>542</v>
      </c>
      <c r="N95" s="249" t="s">
        <v>574</v>
      </c>
      <c r="O95" s="131" t="s">
        <v>543</v>
      </c>
      <c r="P95" s="244">
        <v>6000</v>
      </c>
      <c r="Q95" s="243" t="s">
        <v>575</v>
      </c>
      <c r="R95" s="242"/>
      <c r="S95" s="244"/>
      <c r="T95" s="244"/>
      <c r="U95" s="244"/>
      <c r="V95" s="250"/>
      <c r="W95" s="240"/>
      <c r="X95" s="85">
        <v>79</v>
      </c>
    </row>
    <row r="96" spans="1:24" s="85" customFormat="1" ht="150" x14ac:dyDescent="0.25">
      <c r="A96" s="241">
        <v>32</v>
      </c>
      <c r="B96" s="242" t="s">
        <v>56</v>
      </c>
      <c r="C96" s="242"/>
      <c r="D96" s="242"/>
      <c r="E96" s="243" t="s">
        <v>548</v>
      </c>
      <c r="F96" s="249" t="s">
        <v>545</v>
      </c>
      <c r="G96" s="242" t="s">
        <v>551</v>
      </c>
      <c r="H96" s="244">
        <v>20000</v>
      </c>
      <c r="I96" s="245">
        <f>IF(X96 = 80, H96 + SUM(S96:S96) - SUM(T96:T96) - SUM(P96:P96) - V96,0)</f>
        <v>0</v>
      </c>
      <c r="J96" s="242" t="s">
        <v>552</v>
      </c>
      <c r="K96" s="242" t="s">
        <v>544</v>
      </c>
      <c r="L96" s="242"/>
      <c r="M96" s="242" t="s">
        <v>553</v>
      </c>
      <c r="N96" s="249" t="s">
        <v>574</v>
      </c>
      <c r="O96" s="182" t="s">
        <v>554</v>
      </c>
      <c r="P96" s="244">
        <v>20000</v>
      </c>
      <c r="Q96" s="243" t="s">
        <v>575</v>
      </c>
      <c r="R96" s="242"/>
      <c r="S96" s="244"/>
      <c r="T96" s="244"/>
      <c r="U96" s="244"/>
      <c r="V96" s="250"/>
      <c r="W96" s="240"/>
      <c r="X96" s="85">
        <v>80</v>
      </c>
    </row>
    <row r="97" spans="24:24" ht="18" x14ac:dyDescent="0.3">
      <c r="X97" s="2">
        <v>81</v>
      </c>
    </row>
  </sheetData>
  <sheetProtection algorithmName="SHA-512" hashValue="n/Fk+cRtX+85tg6bJEJmpYmkdEru0cUy+lx3QCPCFPszEvIgdj3OX0DbtGE5FiYaXJXffq3KRh7LXweO10mXmQ==" saltValue="5CG8NHxH/W/6G2CovzpP5w==" spinCount="100000" sheet="1" objects="1" scenarios="1" formatCells="0" formatColumns="0" formatRows="0"/>
  <mergeCells count="262">
    <mergeCell ref="A91:A92"/>
    <mergeCell ref="O91:O92"/>
    <mergeCell ref="U91:U92"/>
    <mergeCell ref="B91:B92"/>
    <mergeCell ref="V91:V92"/>
    <mergeCell ref="C91:C92"/>
    <mergeCell ref="W91:W92"/>
    <mergeCell ref="D91:D92"/>
    <mergeCell ref="E91:E92"/>
    <mergeCell ref="F91:F92"/>
    <mergeCell ref="G91:G92"/>
    <mergeCell ref="H91:H92"/>
    <mergeCell ref="I91:I92"/>
    <mergeCell ref="J91:J92"/>
    <mergeCell ref="K91:K92"/>
    <mergeCell ref="L91:L92"/>
    <mergeCell ref="M91:M92"/>
    <mergeCell ref="A10:A15"/>
    <mergeCell ref="O10:O15"/>
    <mergeCell ref="U10:U15"/>
    <mergeCell ref="B10:B15"/>
    <mergeCell ref="V10:V15"/>
    <mergeCell ref="C10:C15"/>
    <mergeCell ref="W10:W15"/>
    <mergeCell ref="D10:D15"/>
    <mergeCell ref="E10:E15"/>
    <mergeCell ref="F10:F15"/>
    <mergeCell ref="G10:G15"/>
    <mergeCell ref="H10:H15"/>
    <mergeCell ref="I10:I15"/>
    <mergeCell ref="J10:J15"/>
    <mergeCell ref="K10:K15"/>
    <mergeCell ref="L10:L15"/>
    <mergeCell ref="M10:M15"/>
    <mergeCell ref="A22:A27"/>
    <mergeCell ref="O22:O27"/>
    <mergeCell ref="U22:U27"/>
    <mergeCell ref="B22:B27"/>
    <mergeCell ref="V22:V27"/>
    <mergeCell ref="C22:C27"/>
    <mergeCell ref="W22:W27"/>
    <mergeCell ref="D22:D27"/>
    <mergeCell ref="E22:E27"/>
    <mergeCell ref="F22:F27"/>
    <mergeCell ref="G22:G27"/>
    <mergeCell ref="H22:H27"/>
    <mergeCell ref="I22:I27"/>
    <mergeCell ref="J22:J27"/>
    <mergeCell ref="K22:K27"/>
    <mergeCell ref="L22:L27"/>
    <mergeCell ref="M22:M27"/>
    <mergeCell ref="A16:A21"/>
    <mergeCell ref="O16:O21"/>
    <mergeCell ref="U16:U21"/>
    <mergeCell ref="B16:B21"/>
    <mergeCell ref="V16:V21"/>
    <mergeCell ref="C16:C21"/>
    <mergeCell ref="W16:W21"/>
    <mergeCell ref="D16:D21"/>
    <mergeCell ref="E16:E21"/>
    <mergeCell ref="F16:F21"/>
    <mergeCell ref="G16:G21"/>
    <mergeCell ref="H16:H21"/>
    <mergeCell ref="I16:I21"/>
    <mergeCell ref="J16:J21"/>
    <mergeCell ref="K16:K21"/>
    <mergeCell ref="L16:L21"/>
    <mergeCell ref="M16:M21"/>
    <mergeCell ref="A28:A33"/>
    <mergeCell ref="O28:O33"/>
    <mergeCell ref="U28:U33"/>
    <mergeCell ref="B28:B33"/>
    <mergeCell ref="V28:V33"/>
    <mergeCell ref="C28:C33"/>
    <mergeCell ref="W28:W33"/>
    <mergeCell ref="D28:D33"/>
    <mergeCell ref="E28:E33"/>
    <mergeCell ref="F28:F33"/>
    <mergeCell ref="G28:G33"/>
    <mergeCell ref="H28:H33"/>
    <mergeCell ref="I28:I33"/>
    <mergeCell ref="J28:J33"/>
    <mergeCell ref="K28:K33"/>
    <mergeCell ref="L28:L33"/>
    <mergeCell ref="M28:M33"/>
    <mergeCell ref="A34:A35"/>
    <mergeCell ref="O34:O35"/>
    <mergeCell ref="U34:U35"/>
    <mergeCell ref="B34:B35"/>
    <mergeCell ref="V34:V35"/>
    <mergeCell ref="C34:C35"/>
    <mergeCell ref="W34:W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A76:A77"/>
    <mergeCell ref="O76:O77"/>
    <mergeCell ref="U76:U77"/>
    <mergeCell ref="B76:B77"/>
    <mergeCell ref="V76:V77"/>
    <mergeCell ref="C76:C77"/>
    <mergeCell ref="W76:W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A3:E3"/>
    <mergeCell ref="S2:U2"/>
    <mergeCell ref="N2:O2"/>
    <mergeCell ref="J4:K4"/>
    <mergeCell ref="M4:N4"/>
    <mergeCell ref="O4:P4"/>
    <mergeCell ref="K2:M2"/>
    <mergeCell ref="O73:O75"/>
    <mergeCell ref="U73:U75"/>
    <mergeCell ref="J62:J67"/>
    <mergeCell ref="K62:K67"/>
    <mergeCell ref="L62:L67"/>
    <mergeCell ref="M62:M67"/>
    <mergeCell ref="D62:D67"/>
    <mergeCell ref="M68:M72"/>
    <mergeCell ref="A73:A75"/>
    <mergeCell ref="B73:B75"/>
    <mergeCell ref="C73:C75"/>
    <mergeCell ref="O57:O61"/>
    <mergeCell ref="U57:U61"/>
    <mergeCell ref="B57:B61"/>
    <mergeCell ref="L47:L56"/>
    <mergeCell ref="A47:A56"/>
    <mergeCell ref="O47:O56"/>
    <mergeCell ref="V73:V75"/>
    <mergeCell ref="W73:W75"/>
    <mergeCell ref="D73:D75"/>
    <mergeCell ref="E73:E75"/>
    <mergeCell ref="F73:F75"/>
    <mergeCell ref="G73:G75"/>
    <mergeCell ref="H73:H75"/>
    <mergeCell ref="I73:I75"/>
    <mergeCell ref="J73:J75"/>
    <mergeCell ref="K73:K75"/>
    <mergeCell ref="L73:L75"/>
    <mergeCell ref="M73:M75"/>
    <mergeCell ref="W62:W67"/>
    <mergeCell ref="A42:A46"/>
    <mergeCell ref="O42:O46"/>
    <mergeCell ref="U42:U46"/>
    <mergeCell ref="M47:M56"/>
    <mergeCell ref="B42:B46"/>
    <mergeCell ref="V42:V46"/>
    <mergeCell ref="H57:H61"/>
    <mergeCell ref="I57:I61"/>
    <mergeCell ref="J57:J61"/>
    <mergeCell ref="C42:C46"/>
    <mergeCell ref="D42:D46"/>
    <mergeCell ref="E42:E46"/>
    <mergeCell ref="K57:K61"/>
    <mergeCell ref="L57:L61"/>
    <mergeCell ref="M57:M61"/>
    <mergeCell ref="F42:F46"/>
    <mergeCell ref="G42:G46"/>
    <mergeCell ref="H42:H46"/>
    <mergeCell ref="I42:I46"/>
    <mergeCell ref="J42:J46"/>
    <mergeCell ref="K42:K46"/>
    <mergeCell ref="L42:L46"/>
    <mergeCell ref="A57:A61"/>
    <mergeCell ref="V57:V61"/>
    <mergeCell ref="C57:C61"/>
    <mergeCell ref="A62:A67"/>
    <mergeCell ref="O62:O67"/>
    <mergeCell ref="U62:U67"/>
    <mergeCell ref="B62:B67"/>
    <mergeCell ref="V62:V67"/>
    <mergeCell ref="C62:C67"/>
    <mergeCell ref="E62:E67"/>
    <mergeCell ref="F62:F67"/>
    <mergeCell ref="G62:G67"/>
    <mergeCell ref="H62:H67"/>
    <mergeCell ref="I62:I67"/>
    <mergeCell ref="W37:W41"/>
    <mergeCell ref="D37:D41"/>
    <mergeCell ref="E37:E41"/>
    <mergeCell ref="F37:F41"/>
    <mergeCell ref="G37:G41"/>
    <mergeCell ref="H37:H41"/>
    <mergeCell ref="I37:I41"/>
    <mergeCell ref="J37:J41"/>
    <mergeCell ref="K37:K41"/>
    <mergeCell ref="L37:L41"/>
    <mergeCell ref="M37:M41"/>
    <mergeCell ref="W57:W61"/>
    <mergeCell ref="D57:D61"/>
    <mergeCell ref="E57:E61"/>
    <mergeCell ref="F57:F61"/>
    <mergeCell ref="G57:G61"/>
    <mergeCell ref="W42:W46"/>
    <mergeCell ref="M42:M46"/>
    <mergeCell ref="A68:A72"/>
    <mergeCell ref="O68:O72"/>
    <mergeCell ref="U68:U72"/>
    <mergeCell ref="B68:B72"/>
    <mergeCell ref="V68:V72"/>
    <mergeCell ref="C68:C72"/>
    <mergeCell ref="W68:W72"/>
    <mergeCell ref="D68:D72"/>
    <mergeCell ref="E68:E72"/>
    <mergeCell ref="F68:F72"/>
    <mergeCell ref="G68:G72"/>
    <mergeCell ref="H68:H72"/>
    <mergeCell ref="I68:I72"/>
    <mergeCell ref="J68:J72"/>
    <mergeCell ref="K68:K72"/>
    <mergeCell ref="L68:L72"/>
    <mergeCell ref="W47:W56"/>
    <mergeCell ref="A85:A86"/>
    <mergeCell ref="O85:O86"/>
    <mergeCell ref="U85:U86"/>
    <mergeCell ref="B85:B86"/>
    <mergeCell ref="V85:V86"/>
    <mergeCell ref="C85:C86"/>
    <mergeCell ref="W85:W86"/>
    <mergeCell ref="D85:D86"/>
    <mergeCell ref="E85:E86"/>
    <mergeCell ref="F85:F86"/>
    <mergeCell ref="G85:G86"/>
    <mergeCell ref="H85:H86"/>
    <mergeCell ref="I85:I86"/>
    <mergeCell ref="J85:J86"/>
    <mergeCell ref="K85:K86"/>
    <mergeCell ref="L85:L86"/>
    <mergeCell ref="M85:M86"/>
    <mergeCell ref="U47:U56"/>
    <mergeCell ref="B47:B56"/>
    <mergeCell ref="V47:V56"/>
    <mergeCell ref="C47:C56"/>
    <mergeCell ref="A37:A41"/>
    <mergeCell ref="O37:O41"/>
    <mergeCell ref="U37:U41"/>
    <mergeCell ref="B37:B41"/>
    <mergeCell ref="V37:V41"/>
    <mergeCell ref="C37:C41"/>
    <mergeCell ref="D47:D56"/>
    <mergeCell ref="E47:E56"/>
    <mergeCell ref="F47:F56"/>
    <mergeCell ref="G47:G56"/>
    <mergeCell ref="H47:H56"/>
    <mergeCell ref="I47:I56"/>
    <mergeCell ref="J47:J56"/>
    <mergeCell ref="K47:K56"/>
  </mergeCells>
  <pageMargins left="0.23622047244094491" right="0.23622047244094491" top="0.74803149606299213" bottom="0.74803149606299213" header="0.31496062992125984" footer="0.31496062992125984"/>
  <pageSetup paperSize="9" scale="23" fitToHeight="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0000"/>
    <pageSetUpPr fitToPage="1"/>
  </sheetPr>
  <dimension ref="A1:X155"/>
  <sheetViews>
    <sheetView showGridLines="0" topLeftCell="E1" zoomScale="51" zoomScaleNormal="51" workbookViewId="0">
      <pane ySplit="8" topLeftCell="A152" activePane="bottomLeft" state="frozen"/>
      <selection pane="bottomLeft" activeCell="I155" sqref="I155"/>
    </sheetView>
  </sheetViews>
  <sheetFormatPr defaultColWidth="0" defaultRowHeight="18.75" x14ac:dyDescent="0.25"/>
  <cols>
    <col min="1" max="1" width="14" style="3" customWidth="1"/>
    <col min="2" max="2" width="40.28515625" style="3" customWidth="1"/>
    <col min="3" max="3" width="34" style="3" customWidth="1"/>
    <col min="4" max="4" width="25.42578125" style="3" customWidth="1"/>
    <col min="5" max="5" width="23.85546875" style="3" customWidth="1"/>
    <col min="6" max="6" width="32.42578125" style="3" customWidth="1"/>
    <col min="7" max="7" width="42" style="11" customWidth="1"/>
    <col min="8" max="8" width="35" style="3" customWidth="1"/>
    <col min="9" max="9" width="33" style="3" customWidth="1"/>
    <col min="10" max="11" width="27.28515625" style="26" customWidth="1"/>
    <col min="12" max="12" width="21.42578125" style="3" customWidth="1"/>
    <col min="13" max="13" width="26.5703125" style="3" customWidth="1"/>
    <col min="14" max="14" width="28.140625" style="11" customWidth="1"/>
    <col min="15" max="15" width="39.28515625" style="3" customWidth="1"/>
    <col min="16" max="16" width="24.7109375" style="26" customWidth="1"/>
    <col min="17" max="17" width="24.42578125" style="11" customWidth="1"/>
    <col min="18" max="18" width="23.42578125" style="3" customWidth="1"/>
    <col min="19" max="19" width="25.7109375" style="3" customWidth="1"/>
    <col min="20" max="20" width="26" style="3" customWidth="1"/>
    <col min="21" max="21" width="23.7109375" style="11" customWidth="1"/>
    <col min="22" max="22" width="24" style="10" customWidth="1"/>
    <col min="23" max="23" width="21.85546875" style="2" customWidth="1"/>
    <col min="24" max="16384" width="9.140625" style="2" hidden="1"/>
  </cols>
  <sheetData>
    <row r="1" spans="1:24" ht="18.600000000000001" thickBot="1" x14ac:dyDescent="0.35"/>
    <row r="2" spans="1:24" ht="39.950000000000003" customHeight="1" thickBot="1" x14ac:dyDescent="0.3">
      <c r="E2" s="68"/>
      <c r="F2" s="445" t="s">
        <v>24</v>
      </c>
      <c r="G2" s="446"/>
      <c r="H2" s="80">
        <f>SUM(H9:H9999)</f>
        <v>4508417.68</v>
      </c>
      <c r="I2" s="68"/>
      <c r="N2" s="391" t="s">
        <v>137</v>
      </c>
      <c r="O2" s="393"/>
      <c r="P2" s="69">
        <f>SUM(P9:P9999)</f>
        <v>3394874.8100000015</v>
      </c>
      <c r="R2" s="68"/>
      <c r="S2" s="391" t="s">
        <v>45</v>
      </c>
      <c r="T2" s="392"/>
      <c r="U2" s="393"/>
      <c r="V2" s="70">
        <f>SUM(V9:V9999)</f>
        <v>349657.29</v>
      </c>
    </row>
    <row r="3" spans="1:24" ht="18" x14ac:dyDescent="0.3">
      <c r="F3" s="2"/>
      <c r="G3" s="2"/>
      <c r="H3" s="2"/>
      <c r="I3" s="2"/>
      <c r="N3" s="2"/>
      <c r="O3" s="2"/>
      <c r="R3" s="2"/>
      <c r="S3" s="2"/>
      <c r="T3" s="2"/>
      <c r="U3" s="2"/>
    </row>
    <row r="4" spans="1:24" ht="39.950000000000003" customHeight="1" x14ac:dyDescent="0.3">
      <c r="F4" s="2"/>
      <c r="G4" s="2"/>
      <c r="H4" s="2"/>
      <c r="I4" s="2"/>
      <c r="N4" s="2"/>
      <c r="O4" s="2"/>
      <c r="R4" s="2"/>
      <c r="S4" s="2"/>
      <c r="T4" s="2"/>
      <c r="U4" s="2"/>
    </row>
    <row r="6" spans="1:24" ht="150" x14ac:dyDescent="0.25">
      <c r="A6" s="18" t="s">
        <v>8</v>
      </c>
      <c r="B6" s="18" t="s">
        <v>47</v>
      </c>
      <c r="C6" s="18" t="s">
        <v>145</v>
      </c>
      <c r="D6" s="18" t="s">
        <v>10</v>
      </c>
      <c r="E6" s="18" t="s">
        <v>1</v>
      </c>
      <c r="F6" s="18" t="s">
        <v>2</v>
      </c>
      <c r="G6" s="24" t="s">
        <v>3</v>
      </c>
      <c r="H6" s="18" t="s">
        <v>4</v>
      </c>
      <c r="I6" s="18" t="s">
        <v>22</v>
      </c>
      <c r="J6" s="27" t="s">
        <v>46</v>
      </c>
      <c r="K6" s="27" t="s">
        <v>5</v>
      </c>
      <c r="L6" s="18" t="s">
        <v>106</v>
      </c>
      <c r="M6" s="18" t="s">
        <v>39</v>
      </c>
      <c r="N6" s="24" t="s">
        <v>37</v>
      </c>
      <c r="O6" s="18" t="s">
        <v>6</v>
      </c>
      <c r="P6" s="27" t="s">
        <v>23</v>
      </c>
      <c r="Q6" s="24" t="s">
        <v>9</v>
      </c>
      <c r="R6" s="23" t="s">
        <v>40</v>
      </c>
      <c r="S6" s="23" t="s">
        <v>103</v>
      </c>
      <c r="T6" s="23" t="s">
        <v>104</v>
      </c>
      <c r="U6" s="22" t="s">
        <v>41</v>
      </c>
      <c r="V6" s="25" t="s">
        <v>43</v>
      </c>
      <c r="W6" s="1" t="s">
        <v>42</v>
      </c>
    </row>
    <row r="7" spans="1:24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</row>
    <row r="8" spans="1:24" s="14" customFormat="1" ht="131.25" x14ac:dyDescent="0.25">
      <c r="A8" s="21" t="s">
        <v>36</v>
      </c>
      <c r="B8" s="21" t="s">
        <v>56</v>
      </c>
      <c r="C8" s="21"/>
      <c r="D8" s="21" t="s">
        <v>58</v>
      </c>
      <c r="E8" s="21" t="s">
        <v>57</v>
      </c>
      <c r="F8" s="59">
        <v>43839</v>
      </c>
      <c r="G8" s="20" t="s">
        <v>59</v>
      </c>
      <c r="H8" s="19">
        <v>20000</v>
      </c>
      <c r="I8" s="19">
        <v>0</v>
      </c>
      <c r="J8" s="58">
        <v>2353019514</v>
      </c>
      <c r="K8" s="28" t="s">
        <v>61</v>
      </c>
      <c r="L8" s="21"/>
      <c r="M8" s="21" t="s">
        <v>62</v>
      </c>
      <c r="N8" s="20">
        <v>43840</v>
      </c>
      <c r="O8" s="21" t="s">
        <v>63</v>
      </c>
      <c r="P8" s="28">
        <v>20000</v>
      </c>
      <c r="Q8" s="20">
        <v>43840</v>
      </c>
      <c r="R8" s="21"/>
      <c r="S8" s="54"/>
      <c r="T8" s="54"/>
      <c r="U8" s="20"/>
      <c r="V8" s="19"/>
      <c r="W8" s="12" t="s">
        <v>64</v>
      </c>
    </row>
    <row r="9" spans="1:24" s="85" customFormat="1" ht="54" customHeight="1" x14ac:dyDescent="0.25">
      <c r="A9" s="468">
        <v>1</v>
      </c>
      <c r="B9" s="471" t="s">
        <v>56</v>
      </c>
      <c r="C9" s="471"/>
      <c r="D9" s="471"/>
      <c r="E9" s="471" t="s">
        <v>158</v>
      </c>
      <c r="F9" s="477">
        <v>44560</v>
      </c>
      <c r="G9" s="480" t="s">
        <v>156</v>
      </c>
      <c r="H9" s="483">
        <v>11000</v>
      </c>
      <c r="I9" s="486">
        <f>IF(X9 = 13, H9 + SUM(S9:S22) - SUM(T9:T22) - SUM(P9:P22) - V9,0)</f>
        <v>1.1368683772161603E-13</v>
      </c>
      <c r="J9" s="489">
        <v>7707049388</v>
      </c>
      <c r="K9" s="492" t="s">
        <v>157</v>
      </c>
      <c r="L9" s="471"/>
      <c r="M9" s="471" t="s">
        <v>155</v>
      </c>
      <c r="N9" s="138">
        <v>44592</v>
      </c>
      <c r="O9" s="477" t="s">
        <v>147</v>
      </c>
      <c r="P9" s="134">
        <v>726.62</v>
      </c>
      <c r="Q9" s="133">
        <v>44608</v>
      </c>
      <c r="R9" s="132"/>
      <c r="S9" s="134"/>
      <c r="T9" s="134"/>
      <c r="U9" s="483" t="s">
        <v>518</v>
      </c>
      <c r="V9" s="495">
        <v>952.42</v>
      </c>
      <c r="W9" s="474"/>
      <c r="X9" s="85">
        <v>13</v>
      </c>
    </row>
    <row r="10" spans="1:24" x14ac:dyDescent="0.25">
      <c r="A10" s="469"/>
      <c r="B10" s="472"/>
      <c r="C10" s="472"/>
      <c r="D10" s="472"/>
      <c r="E10" s="472"/>
      <c r="F10" s="478"/>
      <c r="G10" s="481"/>
      <c r="H10" s="484"/>
      <c r="I10" s="487"/>
      <c r="J10" s="490"/>
      <c r="K10" s="493"/>
      <c r="L10" s="472"/>
      <c r="M10" s="472"/>
      <c r="N10" s="143">
        <v>44620</v>
      </c>
      <c r="O10" s="478"/>
      <c r="P10" s="140">
        <v>682.42</v>
      </c>
      <c r="Q10" s="141">
        <v>44641</v>
      </c>
      <c r="R10" s="142"/>
      <c r="S10" s="140"/>
      <c r="T10" s="140"/>
      <c r="U10" s="484"/>
      <c r="V10" s="496"/>
      <c r="W10" s="475"/>
      <c r="X10" s="2">
        <v>13</v>
      </c>
    </row>
    <row r="11" spans="1:24" x14ac:dyDescent="0.25">
      <c r="A11" s="469"/>
      <c r="B11" s="472"/>
      <c r="C11" s="472"/>
      <c r="D11" s="472"/>
      <c r="E11" s="472"/>
      <c r="F11" s="478"/>
      <c r="G11" s="481"/>
      <c r="H11" s="484"/>
      <c r="I11" s="487"/>
      <c r="J11" s="490"/>
      <c r="K11" s="493"/>
      <c r="L11" s="472"/>
      <c r="M11" s="472"/>
      <c r="N11" s="143">
        <v>44651</v>
      </c>
      <c r="O11" s="478"/>
      <c r="P11" s="140">
        <v>943.67</v>
      </c>
      <c r="Q11" s="141" t="s">
        <v>164</v>
      </c>
      <c r="R11" s="142"/>
      <c r="S11" s="140"/>
      <c r="T11" s="140"/>
      <c r="U11" s="484"/>
      <c r="V11" s="496"/>
      <c r="W11" s="475"/>
      <c r="X11" s="2">
        <v>13</v>
      </c>
    </row>
    <row r="12" spans="1:24" x14ac:dyDescent="0.25">
      <c r="A12" s="469"/>
      <c r="B12" s="472"/>
      <c r="C12" s="472"/>
      <c r="D12" s="472"/>
      <c r="E12" s="472"/>
      <c r="F12" s="478"/>
      <c r="G12" s="481"/>
      <c r="H12" s="484"/>
      <c r="I12" s="487"/>
      <c r="J12" s="490"/>
      <c r="K12" s="493"/>
      <c r="L12" s="472"/>
      <c r="M12" s="472"/>
      <c r="N12" s="143">
        <v>44681</v>
      </c>
      <c r="O12" s="478"/>
      <c r="P12" s="140">
        <v>769.14</v>
      </c>
      <c r="Q12" s="141" t="s">
        <v>165</v>
      </c>
      <c r="R12" s="142"/>
      <c r="S12" s="140"/>
      <c r="T12" s="140"/>
      <c r="U12" s="484"/>
      <c r="V12" s="496"/>
      <c r="W12" s="475"/>
      <c r="X12" s="2">
        <v>13</v>
      </c>
    </row>
    <row r="13" spans="1:24" x14ac:dyDescent="0.25">
      <c r="A13" s="469"/>
      <c r="B13" s="472"/>
      <c r="C13" s="472"/>
      <c r="D13" s="472"/>
      <c r="E13" s="472"/>
      <c r="F13" s="478"/>
      <c r="G13" s="481"/>
      <c r="H13" s="484"/>
      <c r="I13" s="487"/>
      <c r="J13" s="490"/>
      <c r="K13" s="493"/>
      <c r="L13" s="472"/>
      <c r="M13" s="472"/>
      <c r="N13" s="143">
        <v>44712</v>
      </c>
      <c r="O13" s="478"/>
      <c r="P13" s="140">
        <v>973.78</v>
      </c>
      <c r="Q13" s="141" t="s">
        <v>174</v>
      </c>
      <c r="R13" s="142"/>
      <c r="S13" s="140"/>
      <c r="T13" s="140"/>
      <c r="U13" s="484"/>
      <c r="V13" s="496"/>
      <c r="W13" s="475"/>
      <c r="X13" s="2">
        <v>13</v>
      </c>
    </row>
    <row r="14" spans="1:24" x14ac:dyDescent="0.25">
      <c r="A14" s="469"/>
      <c r="B14" s="472"/>
      <c r="C14" s="472"/>
      <c r="D14" s="472"/>
      <c r="E14" s="472"/>
      <c r="F14" s="478"/>
      <c r="G14" s="481"/>
      <c r="H14" s="484"/>
      <c r="I14" s="487"/>
      <c r="J14" s="490"/>
      <c r="K14" s="493"/>
      <c r="L14" s="472"/>
      <c r="M14" s="472"/>
      <c r="N14" s="143">
        <v>44742</v>
      </c>
      <c r="O14" s="478"/>
      <c r="P14" s="140">
        <v>772.94</v>
      </c>
      <c r="Q14" s="141" t="s">
        <v>176</v>
      </c>
      <c r="R14" s="142"/>
      <c r="S14" s="140"/>
      <c r="T14" s="140"/>
      <c r="U14" s="484"/>
      <c r="V14" s="496"/>
      <c r="W14" s="475"/>
      <c r="X14" s="2">
        <v>13</v>
      </c>
    </row>
    <row r="15" spans="1:24" x14ac:dyDescent="0.25">
      <c r="A15" s="469"/>
      <c r="B15" s="472"/>
      <c r="C15" s="472"/>
      <c r="D15" s="472"/>
      <c r="E15" s="472"/>
      <c r="F15" s="478"/>
      <c r="G15" s="481"/>
      <c r="H15" s="484"/>
      <c r="I15" s="487"/>
      <c r="J15" s="490"/>
      <c r="K15" s="493"/>
      <c r="L15" s="472"/>
      <c r="M15" s="472"/>
      <c r="N15" s="143">
        <v>44773</v>
      </c>
      <c r="O15" s="478"/>
      <c r="P15" s="140">
        <v>717.13</v>
      </c>
      <c r="Q15" s="141" t="s">
        <v>181</v>
      </c>
      <c r="R15" s="142"/>
      <c r="S15" s="140"/>
      <c r="T15" s="140"/>
      <c r="U15" s="484"/>
      <c r="V15" s="496"/>
      <c r="W15" s="475"/>
      <c r="X15" s="2">
        <v>13</v>
      </c>
    </row>
    <row r="16" spans="1:24" x14ac:dyDescent="0.25">
      <c r="A16" s="469"/>
      <c r="B16" s="472"/>
      <c r="C16" s="472"/>
      <c r="D16" s="472"/>
      <c r="E16" s="472"/>
      <c r="F16" s="478"/>
      <c r="G16" s="481"/>
      <c r="H16" s="484"/>
      <c r="I16" s="487"/>
      <c r="J16" s="490"/>
      <c r="K16" s="493"/>
      <c r="L16" s="472"/>
      <c r="M16" s="472"/>
      <c r="N16" s="143">
        <v>44804</v>
      </c>
      <c r="O16" s="478"/>
      <c r="P16" s="140">
        <v>704.78</v>
      </c>
      <c r="Q16" s="141" t="s">
        <v>185</v>
      </c>
      <c r="R16" s="142"/>
      <c r="S16" s="140"/>
      <c r="T16" s="140"/>
      <c r="U16" s="484"/>
      <c r="V16" s="496"/>
      <c r="W16" s="475"/>
      <c r="X16" s="2">
        <v>13</v>
      </c>
    </row>
    <row r="17" spans="1:24" x14ac:dyDescent="0.25">
      <c r="A17" s="469"/>
      <c r="B17" s="472"/>
      <c r="C17" s="472"/>
      <c r="D17" s="472"/>
      <c r="E17" s="472"/>
      <c r="F17" s="478"/>
      <c r="G17" s="481"/>
      <c r="H17" s="484"/>
      <c r="I17" s="487"/>
      <c r="J17" s="490"/>
      <c r="K17" s="493"/>
      <c r="L17" s="472"/>
      <c r="M17" s="472"/>
      <c r="N17" s="143">
        <v>44834</v>
      </c>
      <c r="O17" s="478"/>
      <c r="P17" s="140">
        <v>33.020000000000003</v>
      </c>
      <c r="Q17" s="141" t="s">
        <v>189</v>
      </c>
      <c r="R17" s="142"/>
      <c r="S17" s="140"/>
      <c r="T17" s="140"/>
      <c r="U17" s="484"/>
      <c r="V17" s="496"/>
      <c r="W17" s="475"/>
      <c r="X17" s="2">
        <v>13</v>
      </c>
    </row>
    <row r="18" spans="1:24" x14ac:dyDescent="0.25">
      <c r="A18" s="469"/>
      <c r="B18" s="472"/>
      <c r="C18" s="472"/>
      <c r="D18" s="472"/>
      <c r="E18" s="472"/>
      <c r="F18" s="478"/>
      <c r="G18" s="481"/>
      <c r="H18" s="484"/>
      <c r="I18" s="487"/>
      <c r="J18" s="490"/>
      <c r="K18" s="493"/>
      <c r="L18" s="472"/>
      <c r="M18" s="472"/>
      <c r="N18" s="143">
        <v>44834</v>
      </c>
      <c r="O18" s="478"/>
      <c r="P18" s="140">
        <v>805.62</v>
      </c>
      <c r="Q18" s="141" t="s">
        <v>189</v>
      </c>
      <c r="R18" s="142"/>
      <c r="S18" s="140"/>
      <c r="T18" s="140"/>
      <c r="U18" s="484"/>
      <c r="V18" s="496"/>
      <c r="W18" s="475"/>
      <c r="X18" s="2">
        <v>13</v>
      </c>
    </row>
    <row r="19" spans="1:24" x14ac:dyDescent="0.25">
      <c r="A19" s="469"/>
      <c r="B19" s="472"/>
      <c r="C19" s="472"/>
      <c r="D19" s="472"/>
      <c r="E19" s="472"/>
      <c r="F19" s="478"/>
      <c r="G19" s="481"/>
      <c r="H19" s="484"/>
      <c r="I19" s="487"/>
      <c r="J19" s="490"/>
      <c r="K19" s="493"/>
      <c r="L19" s="472"/>
      <c r="M19" s="472"/>
      <c r="N19" s="143">
        <v>44865</v>
      </c>
      <c r="O19" s="478"/>
      <c r="P19" s="140">
        <v>871.99</v>
      </c>
      <c r="Q19" s="141" t="s">
        <v>197</v>
      </c>
      <c r="R19" s="142"/>
      <c r="S19" s="140"/>
      <c r="T19" s="140"/>
      <c r="U19" s="484"/>
      <c r="V19" s="496"/>
      <c r="W19" s="475"/>
      <c r="X19" s="2">
        <v>13</v>
      </c>
    </row>
    <row r="20" spans="1:24" x14ac:dyDescent="0.25">
      <c r="A20" s="469"/>
      <c r="B20" s="472"/>
      <c r="C20" s="472"/>
      <c r="D20" s="472"/>
      <c r="E20" s="472"/>
      <c r="F20" s="478"/>
      <c r="G20" s="481"/>
      <c r="H20" s="484"/>
      <c r="I20" s="487"/>
      <c r="J20" s="490"/>
      <c r="K20" s="493"/>
      <c r="L20" s="472"/>
      <c r="M20" s="472"/>
      <c r="N20" s="143">
        <v>44895</v>
      </c>
      <c r="O20" s="478"/>
      <c r="P20" s="140">
        <v>1010.2</v>
      </c>
      <c r="Q20" s="141" t="s">
        <v>204</v>
      </c>
      <c r="R20" s="142"/>
      <c r="S20" s="140"/>
      <c r="T20" s="140"/>
      <c r="U20" s="484"/>
      <c r="V20" s="496"/>
      <c r="W20" s="475"/>
      <c r="X20" s="2">
        <v>13</v>
      </c>
    </row>
    <row r="21" spans="1:24" x14ac:dyDescent="0.25">
      <c r="A21" s="469"/>
      <c r="B21" s="472"/>
      <c r="C21" s="472"/>
      <c r="D21" s="472"/>
      <c r="E21" s="472"/>
      <c r="F21" s="478"/>
      <c r="G21" s="481"/>
      <c r="H21" s="484"/>
      <c r="I21" s="487"/>
      <c r="J21" s="490"/>
      <c r="K21" s="493"/>
      <c r="L21" s="472"/>
      <c r="M21" s="472"/>
      <c r="N21" s="143">
        <v>44926</v>
      </c>
      <c r="O21" s="478"/>
      <c r="P21" s="140">
        <v>172.08</v>
      </c>
      <c r="Q21" s="141" t="s">
        <v>265</v>
      </c>
      <c r="R21" s="142"/>
      <c r="S21" s="140"/>
      <c r="T21" s="140"/>
      <c r="U21" s="484"/>
      <c r="V21" s="496"/>
      <c r="W21" s="475"/>
      <c r="X21" s="2">
        <v>13</v>
      </c>
    </row>
    <row r="22" spans="1:24" x14ac:dyDescent="0.25">
      <c r="A22" s="470"/>
      <c r="B22" s="473"/>
      <c r="C22" s="473"/>
      <c r="D22" s="473"/>
      <c r="E22" s="473"/>
      <c r="F22" s="479"/>
      <c r="G22" s="482"/>
      <c r="H22" s="485"/>
      <c r="I22" s="488"/>
      <c r="J22" s="491"/>
      <c r="K22" s="494"/>
      <c r="L22" s="473"/>
      <c r="M22" s="473"/>
      <c r="N22" s="139">
        <v>44926</v>
      </c>
      <c r="O22" s="479"/>
      <c r="P22" s="135">
        <v>864.19</v>
      </c>
      <c r="Q22" s="136" t="s">
        <v>265</v>
      </c>
      <c r="R22" s="137"/>
      <c r="S22" s="135"/>
      <c r="T22" s="135"/>
      <c r="U22" s="485"/>
      <c r="V22" s="497"/>
      <c r="W22" s="476"/>
      <c r="X22" s="2">
        <v>13</v>
      </c>
    </row>
    <row r="23" spans="1:24" s="85" customFormat="1" ht="72" customHeight="1" x14ac:dyDescent="0.25">
      <c r="A23" s="447">
        <v>2</v>
      </c>
      <c r="B23" s="456" t="s">
        <v>56</v>
      </c>
      <c r="C23" s="456"/>
      <c r="D23" s="456"/>
      <c r="E23" s="456" t="s">
        <v>191</v>
      </c>
      <c r="F23" s="450" t="s">
        <v>186</v>
      </c>
      <c r="G23" s="504" t="s">
        <v>192</v>
      </c>
      <c r="H23" s="453">
        <v>257225.44</v>
      </c>
      <c r="I23" s="459">
        <f>IF(X23 = 46, H23 + SUM(S23:S25) - SUM(T23:T25) - SUM(P23:P25) - V23,0)</f>
        <v>-1.6298157268224145E-11</v>
      </c>
      <c r="J23" s="462">
        <v>2312054894</v>
      </c>
      <c r="K23" s="465" t="s">
        <v>149</v>
      </c>
      <c r="L23" s="456"/>
      <c r="M23" s="456" t="s">
        <v>190</v>
      </c>
      <c r="N23" s="105">
        <v>44865</v>
      </c>
      <c r="O23" s="450" t="s">
        <v>193</v>
      </c>
      <c r="P23" s="98">
        <v>7464.37</v>
      </c>
      <c r="Q23" s="97" t="s">
        <v>198</v>
      </c>
      <c r="R23" s="96"/>
      <c r="S23" s="98"/>
      <c r="T23" s="98"/>
      <c r="U23" s="453" t="s">
        <v>519</v>
      </c>
      <c r="V23" s="501">
        <v>0.17</v>
      </c>
      <c r="W23" s="498"/>
      <c r="X23" s="85">
        <v>46</v>
      </c>
    </row>
    <row r="24" spans="1:24" x14ac:dyDescent="0.25">
      <c r="A24" s="448"/>
      <c r="B24" s="457"/>
      <c r="C24" s="457"/>
      <c r="D24" s="457"/>
      <c r="E24" s="457"/>
      <c r="F24" s="451"/>
      <c r="G24" s="505"/>
      <c r="H24" s="454"/>
      <c r="I24" s="460"/>
      <c r="J24" s="463"/>
      <c r="K24" s="466"/>
      <c r="L24" s="457"/>
      <c r="M24" s="457"/>
      <c r="N24" s="106">
        <v>44895</v>
      </c>
      <c r="O24" s="451"/>
      <c r="P24" s="99">
        <v>146780.1</v>
      </c>
      <c r="Q24" s="100" t="s">
        <v>199</v>
      </c>
      <c r="R24" s="101"/>
      <c r="S24" s="99"/>
      <c r="T24" s="99"/>
      <c r="U24" s="454"/>
      <c r="V24" s="502"/>
      <c r="W24" s="499"/>
      <c r="X24" s="2">
        <v>46</v>
      </c>
    </row>
    <row r="25" spans="1:24" x14ac:dyDescent="0.25">
      <c r="A25" s="449"/>
      <c r="B25" s="458"/>
      <c r="C25" s="458"/>
      <c r="D25" s="458"/>
      <c r="E25" s="458"/>
      <c r="F25" s="452"/>
      <c r="G25" s="506"/>
      <c r="H25" s="455"/>
      <c r="I25" s="461"/>
      <c r="J25" s="464"/>
      <c r="K25" s="467"/>
      <c r="L25" s="458"/>
      <c r="M25" s="458"/>
      <c r="N25" s="107">
        <v>44914</v>
      </c>
      <c r="O25" s="452"/>
      <c r="P25" s="102">
        <v>102980.8</v>
      </c>
      <c r="Q25" s="103" t="s">
        <v>203</v>
      </c>
      <c r="R25" s="104"/>
      <c r="S25" s="102"/>
      <c r="T25" s="102"/>
      <c r="U25" s="455"/>
      <c r="V25" s="503"/>
      <c r="W25" s="500"/>
      <c r="X25" s="2">
        <v>46</v>
      </c>
    </row>
    <row r="26" spans="1:24" s="85" customFormat="1" ht="72" customHeight="1" x14ac:dyDescent="0.25">
      <c r="A26" s="399">
        <v>3</v>
      </c>
      <c r="B26" s="405" t="s">
        <v>56</v>
      </c>
      <c r="C26" s="405"/>
      <c r="D26" s="405"/>
      <c r="E26" s="405" t="s">
        <v>268</v>
      </c>
      <c r="F26" s="401" t="s">
        <v>269</v>
      </c>
      <c r="G26" s="411" t="s">
        <v>270</v>
      </c>
      <c r="H26" s="403">
        <v>474789</v>
      </c>
      <c r="I26" s="413">
        <f>IF(X26 = 55, H26 + SUM(S26:S30) - SUM(T26:T30) - SUM(P26:P30) - V26,0)</f>
        <v>0</v>
      </c>
      <c r="J26" s="516">
        <v>235300578903</v>
      </c>
      <c r="K26" s="518" t="s">
        <v>148</v>
      </c>
      <c r="L26" s="405"/>
      <c r="M26" s="405" t="s">
        <v>271</v>
      </c>
      <c r="N26" s="173">
        <v>44834</v>
      </c>
      <c r="O26" s="401" t="s">
        <v>272</v>
      </c>
      <c r="P26" s="166">
        <v>126787.5</v>
      </c>
      <c r="Q26" s="165" t="s">
        <v>273</v>
      </c>
      <c r="R26" s="164"/>
      <c r="S26" s="166"/>
      <c r="T26" s="166"/>
      <c r="U26" s="403"/>
      <c r="V26" s="511"/>
      <c r="W26" s="409"/>
      <c r="X26" s="85">
        <v>55</v>
      </c>
    </row>
    <row r="27" spans="1:24" x14ac:dyDescent="0.25">
      <c r="A27" s="507"/>
      <c r="B27" s="510"/>
      <c r="C27" s="510"/>
      <c r="D27" s="510"/>
      <c r="E27" s="510"/>
      <c r="F27" s="508"/>
      <c r="G27" s="514"/>
      <c r="H27" s="509"/>
      <c r="I27" s="515"/>
      <c r="J27" s="517"/>
      <c r="K27" s="519"/>
      <c r="L27" s="510"/>
      <c r="M27" s="510"/>
      <c r="N27" s="174">
        <v>44865</v>
      </c>
      <c r="O27" s="508"/>
      <c r="P27" s="167">
        <v>116644.5</v>
      </c>
      <c r="Q27" s="168" t="s">
        <v>197</v>
      </c>
      <c r="R27" s="169"/>
      <c r="S27" s="167"/>
      <c r="T27" s="167"/>
      <c r="U27" s="509"/>
      <c r="V27" s="512"/>
      <c r="W27" s="513"/>
      <c r="X27" s="2">
        <v>55</v>
      </c>
    </row>
    <row r="28" spans="1:24" x14ac:dyDescent="0.25">
      <c r="A28" s="507"/>
      <c r="B28" s="510"/>
      <c r="C28" s="510"/>
      <c r="D28" s="510"/>
      <c r="E28" s="510"/>
      <c r="F28" s="508"/>
      <c r="G28" s="514"/>
      <c r="H28" s="509"/>
      <c r="I28" s="515"/>
      <c r="J28" s="517"/>
      <c r="K28" s="519"/>
      <c r="L28" s="510"/>
      <c r="M28" s="510"/>
      <c r="N28" s="174">
        <v>44865</v>
      </c>
      <c r="O28" s="508"/>
      <c r="P28" s="167">
        <v>241.5</v>
      </c>
      <c r="Q28" s="168" t="s">
        <v>274</v>
      </c>
      <c r="R28" s="169"/>
      <c r="S28" s="167"/>
      <c r="T28" s="167"/>
      <c r="U28" s="509"/>
      <c r="V28" s="512"/>
      <c r="W28" s="513"/>
      <c r="X28" s="2">
        <v>55</v>
      </c>
    </row>
    <row r="29" spans="1:24" x14ac:dyDescent="0.25">
      <c r="A29" s="507"/>
      <c r="B29" s="510"/>
      <c r="C29" s="510"/>
      <c r="D29" s="510"/>
      <c r="E29" s="510"/>
      <c r="F29" s="508"/>
      <c r="G29" s="514"/>
      <c r="H29" s="509"/>
      <c r="I29" s="515"/>
      <c r="J29" s="517"/>
      <c r="K29" s="519"/>
      <c r="L29" s="510"/>
      <c r="M29" s="510"/>
      <c r="N29" s="174">
        <v>44895</v>
      </c>
      <c r="O29" s="508"/>
      <c r="P29" s="167">
        <v>103120.5</v>
      </c>
      <c r="Q29" s="168" t="s">
        <v>275</v>
      </c>
      <c r="R29" s="169"/>
      <c r="S29" s="167"/>
      <c r="T29" s="167"/>
      <c r="U29" s="509"/>
      <c r="V29" s="512"/>
      <c r="W29" s="513"/>
      <c r="X29" s="2">
        <v>55</v>
      </c>
    </row>
    <row r="30" spans="1:24" x14ac:dyDescent="0.25">
      <c r="A30" s="507"/>
      <c r="B30" s="510"/>
      <c r="C30" s="510"/>
      <c r="D30" s="510"/>
      <c r="E30" s="510"/>
      <c r="F30" s="508"/>
      <c r="G30" s="514"/>
      <c r="H30" s="509"/>
      <c r="I30" s="515"/>
      <c r="J30" s="517"/>
      <c r="K30" s="519"/>
      <c r="L30" s="510"/>
      <c r="M30" s="510"/>
      <c r="N30" s="174">
        <v>44925</v>
      </c>
      <c r="O30" s="508"/>
      <c r="P30" s="167">
        <v>127995</v>
      </c>
      <c r="Q30" s="168" t="s">
        <v>276</v>
      </c>
      <c r="R30" s="169"/>
      <c r="S30" s="167"/>
      <c r="T30" s="167"/>
      <c r="U30" s="509"/>
      <c r="V30" s="512"/>
      <c r="W30" s="513"/>
      <c r="X30" s="2">
        <v>55</v>
      </c>
    </row>
    <row r="31" spans="1:24" s="85" customFormat="1" ht="54" customHeight="1" x14ac:dyDescent="0.25">
      <c r="A31" s="395">
        <v>4</v>
      </c>
      <c r="B31" s="375" t="s">
        <v>56</v>
      </c>
      <c r="C31" s="375"/>
      <c r="D31" s="375"/>
      <c r="E31" s="375" t="s">
        <v>150</v>
      </c>
      <c r="F31" s="381" t="s">
        <v>217</v>
      </c>
      <c r="G31" s="378" t="s">
        <v>220</v>
      </c>
      <c r="H31" s="384">
        <v>24918.78</v>
      </c>
      <c r="I31" s="387">
        <f>IF(X31 = 56, H31 + SUM(S31:S36) - SUM(T31:T36) - SUM(P31:P36) - V31,0)</f>
        <v>11436.76</v>
      </c>
      <c r="J31" s="433">
        <v>2369002347</v>
      </c>
      <c r="K31" s="429" t="s">
        <v>221</v>
      </c>
      <c r="L31" s="375"/>
      <c r="M31" s="375" t="s">
        <v>214</v>
      </c>
      <c r="N31" s="257" t="s">
        <v>307</v>
      </c>
      <c r="O31" s="381" t="s">
        <v>222</v>
      </c>
      <c r="P31" s="253">
        <v>4841.84</v>
      </c>
      <c r="Q31" s="252" t="s">
        <v>313</v>
      </c>
      <c r="R31" s="251"/>
      <c r="S31" s="253"/>
      <c r="T31" s="253"/>
      <c r="U31" s="384"/>
      <c r="V31" s="424"/>
      <c r="W31" s="372"/>
      <c r="X31" s="85">
        <v>56</v>
      </c>
    </row>
    <row r="32" spans="1:24" x14ac:dyDescent="0.25">
      <c r="A32" s="396"/>
      <c r="B32" s="376"/>
      <c r="C32" s="376"/>
      <c r="D32" s="376"/>
      <c r="E32" s="376"/>
      <c r="F32" s="382"/>
      <c r="G32" s="379"/>
      <c r="H32" s="385"/>
      <c r="I32" s="388"/>
      <c r="J32" s="434"/>
      <c r="K32" s="430"/>
      <c r="L32" s="376"/>
      <c r="M32" s="376"/>
      <c r="N32" s="262" t="s">
        <v>345</v>
      </c>
      <c r="O32" s="382"/>
      <c r="P32" s="259">
        <v>2003.52</v>
      </c>
      <c r="Q32" s="260" t="s">
        <v>347</v>
      </c>
      <c r="R32" s="261"/>
      <c r="S32" s="259"/>
      <c r="T32" s="259"/>
      <c r="U32" s="385"/>
      <c r="V32" s="425"/>
      <c r="W32" s="373"/>
      <c r="X32" s="2">
        <v>56</v>
      </c>
    </row>
    <row r="33" spans="1:24" x14ac:dyDescent="0.25">
      <c r="A33" s="396"/>
      <c r="B33" s="376"/>
      <c r="C33" s="376"/>
      <c r="D33" s="376"/>
      <c r="E33" s="376"/>
      <c r="F33" s="382"/>
      <c r="G33" s="379"/>
      <c r="H33" s="385"/>
      <c r="I33" s="388"/>
      <c r="J33" s="434"/>
      <c r="K33" s="430"/>
      <c r="L33" s="376"/>
      <c r="M33" s="376"/>
      <c r="N33" s="262" t="s">
        <v>375</v>
      </c>
      <c r="O33" s="382"/>
      <c r="P33" s="259">
        <v>1794.82</v>
      </c>
      <c r="Q33" s="260" t="s">
        <v>378</v>
      </c>
      <c r="R33" s="261"/>
      <c r="S33" s="259"/>
      <c r="T33" s="259"/>
      <c r="U33" s="385"/>
      <c r="V33" s="425"/>
      <c r="W33" s="373"/>
      <c r="X33" s="2">
        <v>56</v>
      </c>
    </row>
    <row r="34" spans="1:24" x14ac:dyDescent="0.25">
      <c r="A34" s="396"/>
      <c r="B34" s="376"/>
      <c r="C34" s="376"/>
      <c r="D34" s="376"/>
      <c r="E34" s="376"/>
      <c r="F34" s="382"/>
      <c r="G34" s="379"/>
      <c r="H34" s="385"/>
      <c r="I34" s="388"/>
      <c r="J34" s="434"/>
      <c r="K34" s="430"/>
      <c r="L34" s="376"/>
      <c r="M34" s="376"/>
      <c r="N34" s="262" t="s">
        <v>459</v>
      </c>
      <c r="O34" s="382"/>
      <c r="P34" s="259">
        <v>1878.3</v>
      </c>
      <c r="Q34" s="260" t="s">
        <v>457</v>
      </c>
      <c r="R34" s="261"/>
      <c r="S34" s="259"/>
      <c r="T34" s="259"/>
      <c r="U34" s="385"/>
      <c r="V34" s="425"/>
      <c r="W34" s="373"/>
      <c r="X34" s="2">
        <v>56</v>
      </c>
    </row>
    <row r="35" spans="1:24" x14ac:dyDescent="0.25">
      <c r="A35" s="396"/>
      <c r="B35" s="376"/>
      <c r="C35" s="376"/>
      <c r="D35" s="376"/>
      <c r="E35" s="376"/>
      <c r="F35" s="382"/>
      <c r="G35" s="379"/>
      <c r="H35" s="385"/>
      <c r="I35" s="388"/>
      <c r="J35" s="434"/>
      <c r="K35" s="430"/>
      <c r="L35" s="376"/>
      <c r="M35" s="376"/>
      <c r="N35" s="262" t="s">
        <v>470</v>
      </c>
      <c r="O35" s="382"/>
      <c r="P35" s="259">
        <v>1878.3</v>
      </c>
      <c r="Q35" s="260" t="s">
        <v>507</v>
      </c>
      <c r="R35" s="261"/>
      <c r="S35" s="259"/>
      <c r="T35" s="259"/>
      <c r="U35" s="385"/>
      <c r="V35" s="425"/>
      <c r="W35" s="373"/>
      <c r="X35" s="2">
        <v>56</v>
      </c>
    </row>
    <row r="36" spans="1:24" x14ac:dyDescent="0.25">
      <c r="A36" s="397"/>
      <c r="B36" s="377"/>
      <c r="C36" s="377"/>
      <c r="D36" s="377"/>
      <c r="E36" s="377"/>
      <c r="F36" s="383"/>
      <c r="G36" s="380"/>
      <c r="H36" s="386"/>
      <c r="I36" s="389"/>
      <c r="J36" s="435"/>
      <c r="K36" s="431"/>
      <c r="L36" s="377"/>
      <c r="M36" s="377"/>
      <c r="N36" s="258" t="s">
        <v>562</v>
      </c>
      <c r="O36" s="383"/>
      <c r="P36" s="254">
        <v>1085.24</v>
      </c>
      <c r="Q36" s="255" t="s">
        <v>564</v>
      </c>
      <c r="R36" s="256"/>
      <c r="S36" s="254"/>
      <c r="T36" s="254"/>
      <c r="U36" s="386"/>
      <c r="V36" s="426"/>
      <c r="W36" s="374"/>
      <c r="X36" s="2">
        <v>56</v>
      </c>
    </row>
    <row r="37" spans="1:24" s="85" customFormat="1" ht="54" customHeight="1" x14ac:dyDescent="0.25">
      <c r="A37" s="395">
        <v>5</v>
      </c>
      <c r="B37" s="375" t="s">
        <v>56</v>
      </c>
      <c r="C37" s="375"/>
      <c r="D37" s="375"/>
      <c r="E37" s="375" t="s">
        <v>216</v>
      </c>
      <c r="F37" s="381" t="s">
        <v>217</v>
      </c>
      <c r="G37" s="378" t="s">
        <v>218</v>
      </c>
      <c r="H37" s="384">
        <v>45256.44</v>
      </c>
      <c r="I37" s="387">
        <f>IF(X37 = 57, H37 + SUM(S37:S42) - SUM(T37:T42) - SUM(P37:P42) - V37,0)</f>
        <v>22628.220000000005</v>
      </c>
      <c r="J37" s="433">
        <v>2308131994</v>
      </c>
      <c r="K37" s="429" t="s">
        <v>219</v>
      </c>
      <c r="L37" s="375"/>
      <c r="M37" s="372" t="s">
        <v>214</v>
      </c>
      <c r="N37" s="257" t="s">
        <v>307</v>
      </c>
      <c r="O37" s="381" t="s">
        <v>222</v>
      </c>
      <c r="P37" s="253">
        <v>3771.37</v>
      </c>
      <c r="Q37" s="252" t="s">
        <v>310</v>
      </c>
      <c r="R37" s="251"/>
      <c r="S37" s="253"/>
      <c r="T37" s="253"/>
      <c r="U37" s="384"/>
      <c r="V37" s="424"/>
      <c r="W37" s="372"/>
      <c r="X37" s="85">
        <v>57</v>
      </c>
    </row>
    <row r="38" spans="1:24" x14ac:dyDescent="0.25">
      <c r="A38" s="396"/>
      <c r="B38" s="376"/>
      <c r="C38" s="376"/>
      <c r="D38" s="376"/>
      <c r="E38" s="376"/>
      <c r="F38" s="382"/>
      <c r="G38" s="379"/>
      <c r="H38" s="385"/>
      <c r="I38" s="388"/>
      <c r="J38" s="434"/>
      <c r="K38" s="430"/>
      <c r="L38" s="376"/>
      <c r="M38" s="373"/>
      <c r="N38" s="262" t="s">
        <v>345</v>
      </c>
      <c r="O38" s="382"/>
      <c r="P38" s="259">
        <v>3771.37</v>
      </c>
      <c r="Q38" s="260" t="s">
        <v>310</v>
      </c>
      <c r="R38" s="261"/>
      <c r="S38" s="259"/>
      <c r="T38" s="259"/>
      <c r="U38" s="385"/>
      <c r="V38" s="425"/>
      <c r="W38" s="373"/>
      <c r="X38" s="2">
        <v>57</v>
      </c>
    </row>
    <row r="39" spans="1:24" x14ac:dyDescent="0.25">
      <c r="A39" s="396"/>
      <c r="B39" s="376"/>
      <c r="C39" s="376"/>
      <c r="D39" s="376"/>
      <c r="E39" s="376"/>
      <c r="F39" s="382"/>
      <c r="G39" s="379"/>
      <c r="H39" s="385"/>
      <c r="I39" s="388"/>
      <c r="J39" s="434"/>
      <c r="K39" s="430"/>
      <c r="L39" s="376"/>
      <c r="M39" s="373"/>
      <c r="N39" s="262" t="s">
        <v>371</v>
      </c>
      <c r="O39" s="382"/>
      <c r="P39" s="259">
        <v>3771.37</v>
      </c>
      <c r="Q39" s="260" t="s">
        <v>376</v>
      </c>
      <c r="R39" s="261"/>
      <c r="S39" s="259"/>
      <c r="T39" s="259"/>
      <c r="U39" s="385"/>
      <c r="V39" s="425"/>
      <c r="W39" s="373"/>
      <c r="X39" s="2">
        <v>57</v>
      </c>
    </row>
    <row r="40" spans="1:24" x14ac:dyDescent="0.25">
      <c r="A40" s="396"/>
      <c r="B40" s="376"/>
      <c r="C40" s="376"/>
      <c r="D40" s="376"/>
      <c r="E40" s="376"/>
      <c r="F40" s="382"/>
      <c r="G40" s="379"/>
      <c r="H40" s="385"/>
      <c r="I40" s="388"/>
      <c r="J40" s="434"/>
      <c r="K40" s="430"/>
      <c r="L40" s="376"/>
      <c r="M40" s="373"/>
      <c r="N40" s="262" t="s">
        <v>460</v>
      </c>
      <c r="O40" s="382"/>
      <c r="P40" s="259">
        <v>3771.37</v>
      </c>
      <c r="Q40" s="260" t="s">
        <v>457</v>
      </c>
      <c r="R40" s="261"/>
      <c r="S40" s="259"/>
      <c r="T40" s="259"/>
      <c r="U40" s="385"/>
      <c r="V40" s="425"/>
      <c r="W40" s="373"/>
      <c r="X40" s="2">
        <v>57</v>
      </c>
    </row>
    <row r="41" spans="1:24" x14ac:dyDescent="0.25">
      <c r="A41" s="396"/>
      <c r="B41" s="376"/>
      <c r="C41" s="376"/>
      <c r="D41" s="376"/>
      <c r="E41" s="376"/>
      <c r="F41" s="382"/>
      <c r="G41" s="379"/>
      <c r="H41" s="385"/>
      <c r="I41" s="388"/>
      <c r="J41" s="434"/>
      <c r="K41" s="430"/>
      <c r="L41" s="376"/>
      <c r="M41" s="373"/>
      <c r="N41" s="262" t="s">
        <v>470</v>
      </c>
      <c r="O41" s="382"/>
      <c r="P41" s="259">
        <v>3771.37</v>
      </c>
      <c r="Q41" s="260" t="s">
        <v>509</v>
      </c>
      <c r="R41" s="261"/>
      <c r="S41" s="259"/>
      <c r="T41" s="259"/>
      <c r="U41" s="385"/>
      <c r="V41" s="425"/>
      <c r="W41" s="373"/>
      <c r="X41" s="2">
        <v>57</v>
      </c>
    </row>
    <row r="42" spans="1:24" x14ac:dyDescent="0.25">
      <c r="A42" s="397"/>
      <c r="B42" s="377"/>
      <c r="C42" s="377"/>
      <c r="D42" s="377"/>
      <c r="E42" s="377"/>
      <c r="F42" s="383"/>
      <c r="G42" s="380"/>
      <c r="H42" s="386"/>
      <c r="I42" s="389"/>
      <c r="J42" s="435"/>
      <c r="K42" s="431"/>
      <c r="L42" s="377"/>
      <c r="M42" s="374"/>
      <c r="N42" s="258" t="s">
        <v>562</v>
      </c>
      <c r="O42" s="383"/>
      <c r="P42" s="254">
        <v>3771.37</v>
      </c>
      <c r="Q42" s="255" t="s">
        <v>564</v>
      </c>
      <c r="R42" s="256"/>
      <c r="S42" s="254"/>
      <c r="T42" s="254"/>
      <c r="U42" s="386"/>
      <c r="V42" s="426"/>
      <c r="W42" s="374"/>
      <c r="X42" s="2">
        <v>57</v>
      </c>
    </row>
    <row r="43" spans="1:24" s="85" customFormat="1" ht="54" customHeight="1" x14ac:dyDescent="0.25">
      <c r="A43" s="395">
        <v>6</v>
      </c>
      <c r="B43" s="375" t="s">
        <v>56</v>
      </c>
      <c r="C43" s="375"/>
      <c r="D43" s="375"/>
      <c r="E43" s="375" t="s">
        <v>235</v>
      </c>
      <c r="F43" s="381" t="s">
        <v>217</v>
      </c>
      <c r="G43" s="378" t="s">
        <v>230</v>
      </c>
      <c r="H43" s="384">
        <v>460063</v>
      </c>
      <c r="I43" s="387">
        <f>IF(X43 = 58, H43 + SUM(S43:S63) - SUM(T43:T63) - SUM(P43:P63) - V43,0)</f>
        <v>84282.009999999951</v>
      </c>
      <c r="J43" s="433">
        <v>2308119595</v>
      </c>
      <c r="K43" s="429" t="s">
        <v>146</v>
      </c>
      <c r="L43" s="375"/>
      <c r="M43" s="375" t="s">
        <v>214</v>
      </c>
      <c r="N43" s="257" t="s">
        <v>264</v>
      </c>
      <c r="O43" s="381" t="s">
        <v>231</v>
      </c>
      <c r="P43" s="253">
        <v>21504.21</v>
      </c>
      <c r="Q43" s="252" t="s">
        <v>263</v>
      </c>
      <c r="R43" s="251"/>
      <c r="S43" s="253"/>
      <c r="T43" s="253"/>
      <c r="U43" s="384"/>
      <c r="V43" s="424"/>
      <c r="W43" s="372"/>
      <c r="X43" s="85">
        <v>58</v>
      </c>
    </row>
    <row r="44" spans="1:24" x14ac:dyDescent="0.25">
      <c r="A44" s="396"/>
      <c r="B44" s="376"/>
      <c r="C44" s="376"/>
      <c r="D44" s="376"/>
      <c r="E44" s="376"/>
      <c r="F44" s="382"/>
      <c r="G44" s="379"/>
      <c r="H44" s="385"/>
      <c r="I44" s="388"/>
      <c r="J44" s="434"/>
      <c r="K44" s="430"/>
      <c r="L44" s="376"/>
      <c r="M44" s="376"/>
      <c r="N44" s="262" t="s">
        <v>267</v>
      </c>
      <c r="O44" s="382"/>
      <c r="P44" s="259">
        <v>17021.11</v>
      </c>
      <c r="Q44" s="260" t="s">
        <v>266</v>
      </c>
      <c r="R44" s="261"/>
      <c r="S44" s="259"/>
      <c r="T44" s="259"/>
      <c r="U44" s="385"/>
      <c r="V44" s="425"/>
      <c r="W44" s="373"/>
      <c r="X44" s="2">
        <v>58</v>
      </c>
    </row>
    <row r="45" spans="1:24" x14ac:dyDescent="0.25">
      <c r="A45" s="396"/>
      <c r="B45" s="376"/>
      <c r="C45" s="376"/>
      <c r="D45" s="376"/>
      <c r="E45" s="376"/>
      <c r="F45" s="382"/>
      <c r="G45" s="379"/>
      <c r="H45" s="385"/>
      <c r="I45" s="388"/>
      <c r="J45" s="434"/>
      <c r="K45" s="430"/>
      <c r="L45" s="376"/>
      <c r="M45" s="376"/>
      <c r="N45" s="262" t="s">
        <v>267</v>
      </c>
      <c r="O45" s="382"/>
      <c r="P45" s="259">
        <v>27235.8</v>
      </c>
      <c r="Q45" s="260" t="s">
        <v>266</v>
      </c>
      <c r="R45" s="261"/>
      <c r="S45" s="259"/>
      <c r="T45" s="259"/>
      <c r="U45" s="385"/>
      <c r="V45" s="425"/>
      <c r="W45" s="373"/>
      <c r="X45" s="2">
        <v>58</v>
      </c>
    </row>
    <row r="46" spans="1:24" x14ac:dyDescent="0.25">
      <c r="A46" s="396"/>
      <c r="B46" s="376"/>
      <c r="C46" s="376"/>
      <c r="D46" s="376"/>
      <c r="E46" s="376"/>
      <c r="F46" s="382"/>
      <c r="G46" s="379"/>
      <c r="H46" s="385"/>
      <c r="I46" s="388"/>
      <c r="J46" s="434"/>
      <c r="K46" s="430"/>
      <c r="L46" s="376"/>
      <c r="M46" s="376"/>
      <c r="N46" s="262" t="s">
        <v>304</v>
      </c>
      <c r="O46" s="382"/>
      <c r="P46" s="259">
        <v>20426.86</v>
      </c>
      <c r="Q46" s="260" t="s">
        <v>306</v>
      </c>
      <c r="R46" s="261"/>
      <c r="S46" s="259"/>
      <c r="T46" s="259"/>
      <c r="U46" s="385"/>
      <c r="V46" s="425"/>
      <c r="W46" s="373"/>
      <c r="X46" s="2">
        <v>58</v>
      </c>
    </row>
    <row r="47" spans="1:24" x14ac:dyDescent="0.25">
      <c r="A47" s="396"/>
      <c r="B47" s="376"/>
      <c r="C47" s="376"/>
      <c r="D47" s="376"/>
      <c r="E47" s="376"/>
      <c r="F47" s="382"/>
      <c r="G47" s="379"/>
      <c r="H47" s="385"/>
      <c r="I47" s="388"/>
      <c r="J47" s="434"/>
      <c r="K47" s="430"/>
      <c r="L47" s="376"/>
      <c r="M47" s="376"/>
      <c r="N47" s="262" t="s">
        <v>307</v>
      </c>
      <c r="O47" s="382"/>
      <c r="P47" s="259">
        <v>38404.03</v>
      </c>
      <c r="Q47" s="260" t="s">
        <v>315</v>
      </c>
      <c r="R47" s="261"/>
      <c r="S47" s="259"/>
      <c r="T47" s="259"/>
      <c r="U47" s="385"/>
      <c r="V47" s="425"/>
      <c r="W47" s="373"/>
      <c r="X47" s="2">
        <v>58</v>
      </c>
    </row>
    <row r="48" spans="1:24" x14ac:dyDescent="0.25">
      <c r="A48" s="396"/>
      <c r="B48" s="376"/>
      <c r="C48" s="376"/>
      <c r="D48" s="376"/>
      <c r="E48" s="376"/>
      <c r="F48" s="382"/>
      <c r="G48" s="379"/>
      <c r="H48" s="385"/>
      <c r="I48" s="388"/>
      <c r="J48" s="434"/>
      <c r="K48" s="430"/>
      <c r="L48" s="376"/>
      <c r="M48" s="376"/>
      <c r="N48" s="262" t="s">
        <v>304</v>
      </c>
      <c r="O48" s="382"/>
      <c r="P48" s="259">
        <v>36412.379999999997</v>
      </c>
      <c r="Q48" s="260" t="s">
        <v>315</v>
      </c>
      <c r="R48" s="261"/>
      <c r="S48" s="259"/>
      <c r="T48" s="259"/>
      <c r="U48" s="385"/>
      <c r="V48" s="425"/>
      <c r="W48" s="373"/>
      <c r="X48" s="2">
        <v>58</v>
      </c>
    </row>
    <row r="49" spans="1:24" x14ac:dyDescent="0.25">
      <c r="A49" s="396"/>
      <c r="B49" s="376"/>
      <c r="C49" s="376"/>
      <c r="D49" s="376"/>
      <c r="E49" s="376"/>
      <c r="F49" s="382"/>
      <c r="G49" s="379"/>
      <c r="H49" s="385"/>
      <c r="I49" s="388"/>
      <c r="J49" s="434"/>
      <c r="K49" s="430"/>
      <c r="L49" s="376"/>
      <c r="M49" s="376"/>
      <c r="N49" s="262" t="s">
        <v>344</v>
      </c>
      <c r="O49" s="382"/>
      <c r="P49" s="259">
        <v>27309.29</v>
      </c>
      <c r="Q49" s="260" t="s">
        <v>344</v>
      </c>
      <c r="R49" s="261"/>
      <c r="S49" s="259"/>
      <c r="T49" s="259"/>
      <c r="U49" s="385"/>
      <c r="V49" s="425"/>
      <c r="W49" s="373"/>
      <c r="X49" s="2">
        <v>58</v>
      </c>
    </row>
    <row r="50" spans="1:24" x14ac:dyDescent="0.25">
      <c r="A50" s="396"/>
      <c r="B50" s="376"/>
      <c r="C50" s="376"/>
      <c r="D50" s="376"/>
      <c r="E50" s="376"/>
      <c r="F50" s="382"/>
      <c r="G50" s="379"/>
      <c r="H50" s="385"/>
      <c r="I50" s="388"/>
      <c r="J50" s="434"/>
      <c r="K50" s="430"/>
      <c r="L50" s="376"/>
      <c r="M50" s="376"/>
      <c r="N50" s="262" t="s">
        <v>345</v>
      </c>
      <c r="O50" s="382"/>
      <c r="P50" s="259">
        <v>6478.89</v>
      </c>
      <c r="Q50" s="260" t="s">
        <v>350</v>
      </c>
      <c r="R50" s="261"/>
      <c r="S50" s="259"/>
      <c r="T50" s="259"/>
      <c r="U50" s="385"/>
      <c r="V50" s="425"/>
      <c r="W50" s="373"/>
      <c r="X50" s="2">
        <v>58</v>
      </c>
    </row>
    <row r="51" spans="1:24" x14ac:dyDescent="0.25">
      <c r="A51" s="396"/>
      <c r="B51" s="376"/>
      <c r="C51" s="376"/>
      <c r="D51" s="376"/>
      <c r="E51" s="376"/>
      <c r="F51" s="382"/>
      <c r="G51" s="379"/>
      <c r="H51" s="385"/>
      <c r="I51" s="388"/>
      <c r="J51" s="434"/>
      <c r="K51" s="430"/>
      <c r="L51" s="376"/>
      <c r="M51" s="376"/>
      <c r="N51" s="262" t="s">
        <v>344</v>
      </c>
      <c r="O51" s="382"/>
      <c r="P51" s="259">
        <v>27893.33</v>
      </c>
      <c r="Q51" s="260" t="s">
        <v>350</v>
      </c>
      <c r="R51" s="261"/>
      <c r="S51" s="259"/>
      <c r="T51" s="259"/>
      <c r="U51" s="385"/>
      <c r="V51" s="425"/>
      <c r="W51" s="373"/>
      <c r="X51" s="2">
        <v>58</v>
      </c>
    </row>
    <row r="52" spans="1:24" x14ac:dyDescent="0.25">
      <c r="A52" s="396"/>
      <c r="B52" s="376"/>
      <c r="C52" s="376"/>
      <c r="D52" s="376"/>
      <c r="E52" s="376"/>
      <c r="F52" s="382"/>
      <c r="G52" s="379"/>
      <c r="H52" s="385"/>
      <c r="I52" s="388"/>
      <c r="J52" s="434"/>
      <c r="K52" s="430"/>
      <c r="L52" s="376"/>
      <c r="M52" s="376"/>
      <c r="N52" s="262" t="s">
        <v>373</v>
      </c>
      <c r="O52" s="382"/>
      <c r="P52" s="259">
        <v>20920</v>
      </c>
      <c r="Q52" s="260" t="s">
        <v>372</v>
      </c>
      <c r="R52" s="261"/>
      <c r="S52" s="259"/>
      <c r="T52" s="259"/>
      <c r="U52" s="385"/>
      <c r="V52" s="425"/>
      <c r="W52" s="373"/>
      <c r="X52" s="2">
        <v>58</v>
      </c>
    </row>
    <row r="53" spans="1:24" x14ac:dyDescent="0.25">
      <c r="A53" s="396"/>
      <c r="B53" s="376"/>
      <c r="C53" s="376"/>
      <c r="D53" s="376"/>
      <c r="E53" s="376"/>
      <c r="F53" s="382"/>
      <c r="G53" s="379"/>
      <c r="H53" s="385"/>
      <c r="I53" s="388"/>
      <c r="J53" s="434"/>
      <c r="K53" s="430"/>
      <c r="L53" s="376"/>
      <c r="M53" s="376"/>
      <c r="N53" s="262" t="s">
        <v>371</v>
      </c>
      <c r="O53" s="382"/>
      <c r="P53" s="259">
        <v>270</v>
      </c>
      <c r="Q53" s="260" t="s">
        <v>380</v>
      </c>
      <c r="R53" s="261"/>
      <c r="S53" s="259"/>
      <c r="T53" s="259"/>
      <c r="U53" s="385"/>
      <c r="V53" s="425"/>
      <c r="W53" s="373"/>
      <c r="X53" s="2">
        <v>58</v>
      </c>
    </row>
    <row r="54" spans="1:24" x14ac:dyDescent="0.25">
      <c r="A54" s="396"/>
      <c r="B54" s="376"/>
      <c r="C54" s="376"/>
      <c r="D54" s="376"/>
      <c r="E54" s="376"/>
      <c r="F54" s="382"/>
      <c r="G54" s="379"/>
      <c r="H54" s="385"/>
      <c r="I54" s="388"/>
      <c r="J54" s="434"/>
      <c r="K54" s="430"/>
      <c r="L54" s="376"/>
      <c r="M54" s="376"/>
      <c r="N54" s="262" t="s">
        <v>373</v>
      </c>
      <c r="O54" s="382"/>
      <c r="P54" s="259">
        <v>15341.44</v>
      </c>
      <c r="Q54" s="260" t="s">
        <v>380</v>
      </c>
      <c r="R54" s="261"/>
      <c r="S54" s="259"/>
      <c r="T54" s="259"/>
      <c r="U54" s="385"/>
      <c r="V54" s="425"/>
      <c r="W54" s="373"/>
      <c r="X54" s="2">
        <v>58</v>
      </c>
    </row>
    <row r="55" spans="1:24" x14ac:dyDescent="0.25">
      <c r="A55" s="396"/>
      <c r="B55" s="376"/>
      <c r="C55" s="376"/>
      <c r="D55" s="376"/>
      <c r="E55" s="376"/>
      <c r="F55" s="382"/>
      <c r="G55" s="379"/>
      <c r="H55" s="385"/>
      <c r="I55" s="388"/>
      <c r="J55" s="434"/>
      <c r="K55" s="430"/>
      <c r="L55" s="376"/>
      <c r="M55" s="376"/>
      <c r="N55" s="262" t="s">
        <v>456</v>
      </c>
      <c r="O55" s="382"/>
      <c r="P55" s="259">
        <v>11506.08</v>
      </c>
      <c r="Q55" s="260" t="s">
        <v>455</v>
      </c>
      <c r="R55" s="261"/>
      <c r="S55" s="259"/>
      <c r="T55" s="259"/>
      <c r="U55" s="385"/>
      <c r="V55" s="425"/>
      <c r="W55" s="373"/>
      <c r="X55" s="2">
        <v>58</v>
      </c>
    </row>
    <row r="56" spans="1:24" x14ac:dyDescent="0.25">
      <c r="A56" s="396"/>
      <c r="B56" s="376"/>
      <c r="C56" s="376"/>
      <c r="D56" s="376"/>
      <c r="E56" s="376"/>
      <c r="F56" s="382"/>
      <c r="G56" s="379"/>
      <c r="H56" s="385"/>
      <c r="I56" s="388"/>
      <c r="J56" s="434"/>
      <c r="K56" s="430"/>
      <c r="L56" s="376"/>
      <c r="M56" s="376"/>
      <c r="N56" s="262" t="s">
        <v>460</v>
      </c>
      <c r="O56" s="382"/>
      <c r="P56" s="259">
        <v>1168</v>
      </c>
      <c r="Q56" s="260" t="s">
        <v>465</v>
      </c>
      <c r="R56" s="261"/>
      <c r="S56" s="259"/>
      <c r="T56" s="259"/>
      <c r="U56" s="385"/>
      <c r="V56" s="425"/>
      <c r="W56" s="373"/>
      <c r="X56" s="2">
        <v>58</v>
      </c>
    </row>
    <row r="57" spans="1:24" x14ac:dyDescent="0.25">
      <c r="A57" s="396"/>
      <c r="B57" s="376"/>
      <c r="C57" s="376"/>
      <c r="D57" s="376"/>
      <c r="E57" s="376"/>
      <c r="F57" s="382"/>
      <c r="G57" s="379"/>
      <c r="H57" s="385"/>
      <c r="I57" s="388"/>
      <c r="J57" s="434"/>
      <c r="K57" s="430"/>
      <c r="L57" s="376"/>
      <c r="M57" s="376"/>
      <c r="N57" s="262" t="s">
        <v>456</v>
      </c>
      <c r="O57" s="382"/>
      <c r="P57" s="259">
        <v>23631.14</v>
      </c>
      <c r="Q57" s="260" t="s">
        <v>465</v>
      </c>
      <c r="R57" s="261"/>
      <c r="S57" s="259"/>
      <c r="T57" s="259"/>
      <c r="U57" s="385"/>
      <c r="V57" s="425"/>
      <c r="W57" s="373"/>
      <c r="X57" s="2">
        <v>58</v>
      </c>
    </row>
    <row r="58" spans="1:24" x14ac:dyDescent="0.25">
      <c r="A58" s="396"/>
      <c r="B58" s="376"/>
      <c r="C58" s="376"/>
      <c r="D58" s="376"/>
      <c r="E58" s="376"/>
      <c r="F58" s="382"/>
      <c r="G58" s="379"/>
      <c r="H58" s="385"/>
      <c r="I58" s="388"/>
      <c r="J58" s="434"/>
      <c r="K58" s="430"/>
      <c r="L58" s="376"/>
      <c r="M58" s="376"/>
      <c r="N58" s="262" t="s">
        <v>505</v>
      </c>
      <c r="O58" s="382"/>
      <c r="P58" s="259">
        <v>17925.849999999999</v>
      </c>
      <c r="Q58" s="260" t="s">
        <v>508</v>
      </c>
      <c r="R58" s="261"/>
      <c r="S58" s="259"/>
      <c r="T58" s="259"/>
      <c r="U58" s="385"/>
      <c r="V58" s="425"/>
      <c r="W58" s="373"/>
      <c r="X58" s="2">
        <v>58</v>
      </c>
    </row>
    <row r="59" spans="1:24" x14ac:dyDescent="0.25">
      <c r="A59" s="396"/>
      <c r="B59" s="376"/>
      <c r="C59" s="376"/>
      <c r="D59" s="376"/>
      <c r="E59" s="376"/>
      <c r="F59" s="382"/>
      <c r="G59" s="379"/>
      <c r="H59" s="385"/>
      <c r="I59" s="388"/>
      <c r="J59" s="434"/>
      <c r="K59" s="430"/>
      <c r="L59" s="376"/>
      <c r="M59" s="376"/>
      <c r="N59" s="262" t="s">
        <v>470</v>
      </c>
      <c r="O59" s="382"/>
      <c r="P59" s="259">
        <v>11711.04</v>
      </c>
      <c r="Q59" s="260" t="s">
        <v>511</v>
      </c>
      <c r="R59" s="261"/>
      <c r="S59" s="259"/>
      <c r="T59" s="259"/>
      <c r="U59" s="385"/>
      <c r="V59" s="425"/>
      <c r="W59" s="373"/>
      <c r="X59" s="2">
        <v>58</v>
      </c>
    </row>
    <row r="60" spans="1:24" x14ac:dyDescent="0.25">
      <c r="A60" s="396"/>
      <c r="B60" s="376"/>
      <c r="C60" s="376"/>
      <c r="D60" s="376"/>
      <c r="E60" s="376"/>
      <c r="F60" s="382"/>
      <c r="G60" s="379"/>
      <c r="H60" s="385"/>
      <c r="I60" s="388"/>
      <c r="J60" s="434"/>
      <c r="K60" s="430"/>
      <c r="L60" s="376"/>
      <c r="M60" s="376"/>
      <c r="N60" s="262" t="s">
        <v>505</v>
      </c>
      <c r="O60" s="382"/>
      <c r="P60" s="259">
        <v>20769.71</v>
      </c>
      <c r="Q60" s="260" t="s">
        <v>511</v>
      </c>
      <c r="R60" s="261"/>
      <c r="S60" s="259"/>
      <c r="T60" s="259"/>
      <c r="U60" s="385"/>
      <c r="V60" s="425"/>
      <c r="W60" s="373"/>
      <c r="X60" s="2">
        <v>58</v>
      </c>
    </row>
    <row r="61" spans="1:24" x14ac:dyDescent="0.25">
      <c r="A61" s="396"/>
      <c r="B61" s="376"/>
      <c r="C61" s="376"/>
      <c r="D61" s="376"/>
      <c r="E61" s="376"/>
      <c r="F61" s="382"/>
      <c r="G61" s="379"/>
      <c r="H61" s="385"/>
      <c r="I61" s="388"/>
      <c r="J61" s="434"/>
      <c r="K61" s="430"/>
      <c r="L61" s="376"/>
      <c r="M61" s="376"/>
      <c r="N61" s="262" t="s">
        <v>470</v>
      </c>
      <c r="O61" s="382"/>
      <c r="P61" s="259">
        <v>270</v>
      </c>
      <c r="Q61" s="260" t="s">
        <v>512</v>
      </c>
      <c r="R61" s="261"/>
      <c r="S61" s="259"/>
      <c r="T61" s="259"/>
      <c r="U61" s="385"/>
      <c r="V61" s="425"/>
      <c r="W61" s="373"/>
      <c r="X61" s="2">
        <v>58</v>
      </c>
    </row>
    <row r="62" spans="1:24" x14ac:dyDescent="0.25">
      <c r="A62" s="396"/>
      <c r="B62" s="376"/>
      <c r="C62" s="376"/>
      <c r="D62" s="376"/>
      <c r="E62" s="376"/>
      <c r="F62" s="382"/>
      <c r="G62" s="379"/>
      <c r="H62" s="385"/>
      <c r="I62" s="388"/>
      <c r="J62" s="434"/>
      <c r="K62" s="430"/>
      <c r="L62" s="376"/>
      <c r="M62" s="376"/>
      <c r="N62" s="262" t="s">
        <v>565</v>
      </c>
      <c r="O62" s="382"/>
      <c r="P62" s="259">
        <v>15577.28</v>
      </c>
      <c r="Q62" s="260" t="s">
        <v>564</v>
      </c>
      <c r="R62" s="261"/>
      <c r="S62" s="259"/>
      <c r="T62" s="259"/>
      <c r="U62" s="385"/>
      <c r="V62" s="425"/>
      <c r="W62" s="373"/>
      <c r="X62" s="2">
        <v>58</v>
      </c>
    </row>
    <row r="63" spans="1:24" x14ac:dyDescent="0.25">
      <c r="A63" s="397"/>
      <c r="B63" s="377"/>
      <c r="C63" s="377"/>
      <c r="D63" s="377"/>
      <c r="E63" s="377"/>
      <c r="F63" s="383"/>
      <c r="G63" s="380"/>
      <c r="H63" s="386"/>
      <c r="I63" s="389"/>
      <c r="J63" s="435"/>
      <c r="K63" s="431"/>
      <c r="L63" s="377"/>
      <c r="M63" s="377"/>
      <c r="N63" s="258" t="s">
        <v>565</v>
      </c>
      <c r="O63" s="383"/>
      <c r="P63" s="254">
        <v>14004.55</v>
      </c>
      <c r="Q63" s="255" t="s">
        <v>566</v>
      </c>
      <c r="R63" s="256"/>
      <c r="S63" s="254"/>
      <c r="T63" s="254"/>
      <c r="U63" s="386"/>
      <c r="V63" s="426"/>
      <c r="W63" s="374"/>
      <c r="X63" s="2">
        <v>58</v>
      </c>
    </row>
    <row r="64" spans="1:24" s="85" customFormat="1" ht="54" customHeight="1" x14ac:dyDescent="0.25">
      <c r="A64" s="395">
        <v>7</v>
      </c>
      <c r="B64" s="375" t="s">
        <v>56</v>
      </c>
      <c r="C64" s="375"/>
      <c r="D64" s="375"/>
      <c r="E64" s="375" t="s">
        <v>233</v>
      </c>
      <c r="F64" s="381" t="s">
        <v>217</v>
      </c>
      <c r="G64" s="378" t="s">
        <v>232</v>
      </c>
      <c r="H64" s="384">
        <v>27331.200000000001</v>
      </c>
      <c r="I64" s="387">
        <f>IF(X64 = 59, H64 + SUM(S64:S69) - SUM(T64:T69) - SUM(P64:P69) - V64,0)</f>
        <v>13665.6</v>
      </c>
      <c r="J64" s="433">
        <v>2310163739</v>
      </c>
      <c r="K64" s="429" t="s">
        <v>151</v>
      </c>
      <c r="L64" s="375"/>
      <c r="M64" s="375" t="s">
        <v>214</v>
      </c>
      <c r="N64" s="257" t="s">
        <v>314</v>
      </c>
      <c r="O64" s="381" t="s">
        <v>234</v>
      </c>
      <c r="P64" s="253">
        <v>2277.6</v>
      </c>
      <c r="Q64" s="252" t="s">
        <v>317</v>
      </c>
      <c r="R64" s="251"/>
      <c r="S64" s="253"/>
      <c r="T64" s="253"/>
      <c r="U64" s="384"/>
      <c r="V64" s="424"/>
      <c r="W64" s="372"/>
      <c r="X64" s="85">
        <v>59</v>
      </c>
    </row>
    <row r="65" spans="1:24" x14ac:dyDescent="0.25">
      <c r="A65" s="396"/>
      <c r="B65" s="376"/>
      <c r="C65" s="376"/>
      <c r="D65" s="376"/>
      <c r="E65" s="376"/>
      <c r="F65" s="382"/>
      <c r="G65" s="379"/>
      <c r="H65" s="385"/>
      <c r="I65" s="388"/>
      <c r="J65" s="434"/>
      <c r="K65" s="430"/>
      <c r="L65" s="376"/>
      <c r="M65" s="376"/>
      <c r="N65" s="262" t="s">
        <v>345</v>
      </c>
      <c r="O65" s="382"/>
      <c r="P65" s="259">
        <v>2277.6</v>
      </c>
      <c r="Q65" s="260" t="s">
        <v>344</v>
      </c>
      <c r="R65" s="261"/>
      <c r="S65" s="259"/>
      <c r="T65" s="259"/>
      <c r="U65" s="385"/>
      <c r="V65" s="425"/>
      <c r="W65" s="373"/>
      <c r="X65" s="2">
        <v>59</v>
      </c>
    </row>
    <row r="66" spans="1:24" x14ac:dyDescent="0.25">
      <c r="A66" s="396"/>
      <c r="B66" s="376"/>
      <c r="C66" s="376"/>
      <c r="D66" s="376"/>
      <c r="E66" s="376"/>
      <c r="F66" s="382"/>
      <c r="G66" s="379"/>
      <c r="H66" s="385"/>
      <c r="I66" s="388"/>
      <c r="J66" s="434"/>
      <c r="K66" s="430"/>
      <c r="L66" s="376"/>
      <c r="M66" s="376"/>
      <c r="N66" s="262" t="s">
        <v>371</v>
      </c>
      <c r="O66" s="382"/>
      <c r="P66" s="259">
        <v>2277.6</v>
      </c>
      <c r="Q66" s="260" t="s">
        <v>372</v>
      </c>
      <c r="R66" s="261"/>
      <c r="S66" s="259"/>
      <c r="T66" s="259"/>
      <c r="U66" s="385"/>
      <c r="V66" s="425"/>
      <c r="W66" s="373"/>
      <c r="X66" s="2">
        <v>59</v>
      </c>
    </row>
    <row r="67" spans="1:24" x14ac:dyDescent="0.25">
      <c r="A67" s="396"/>
      <c r="B67" s="376"/>
      <c r="C67" s="376"/>
      <c r="D67" s="376"/>
      <c r="E67" s="376"/>
      <c r="F67" s="382"/>
      <c r="G67" s="379"/>
      <c r="H67" s="385"/>
      <c r="I67" s="388"/>
      <c r="J67" s="434"/>
      <c r="K67" s="430"/>
      <c r="L67" s="376"/>
      <c r="M67" s="376"/>
      <c r="N67" s="262" t="s">
        <v>459</v>
      </c>
      <c r="O67" s="382"/>
      <c r="P67" s="259">
        <v>2277.6</v>
      </c>
      <c r="Q67" s="260" t="s">
        <v>457</v>
      </c>
      <c r="R67" s="261"/>
      <c r="S67" s="259"/>
      <c r="T67" s="259"/>
      <c r="U67" s="385"/>
      <c r="V67" s="425"/>
      <c r="W67" s="373"/>
      <c r="X67" s="2">
        <v>59</v>
      </c>
    </row>
    <row r="68" spans="1:24" x14ac:dyDescent="0.25">
      <c r="A68" s="396"/>
      <c r="B68" s="376"/>
      <c r="C68" s="376"/>
      <c r="D68" s="376"/>
      <c r="E68" s="376"/>
      <c r="F68" s="382"/>
      <c r="G68" s="379"/>
      <c r="H68" s="385"/>
      <c r="I68" s="388"/>
      <c r="J68" s="434"/>
      <c r="K68" s="430"/>
      <c r="L68" s="376"/>
      <c r="M68" s="376"/>
      <c r="N68" s="262" t="s">
        <v>470</v>
      </c>
      <c r="O68" s="382"/>
      <c r="P68" s="259">
        <v>2277.6</v>
      </c>
      <c r="Q68" s="260" t="s">
        <v>510</v>
      </c>
      <c r="R68" s="261"/>
      <c r="S68" s="259"/>
      <c r="T68" s="259"/>
      <c r="U68" s="385"/>
      <c r="V68" s="425"/>
      <c r="W68" s="373"/>
      <c r="X68" s="2">
        <v>59</v>
      </c>
    </row>
    <row r="69" spans="1:24" x14ac:dyDescent="0.25">
      <c r="A69" s="397"/>
      <c r="B69" s="377"/>
      <c r="C69" s="377"/>
      <c r="D69" s="377"/>
      <c r="E69" s="377"/>
      <c r="F69" s="383"/>
      <c r="G69" s="380"/>
      <c r="H69" s="386"/>
      <c r="I69" s="389"/>
      <c r="J69" s="435"/>
      <c r="K69" s="431"/>
      <c r="L69" s="377"/>
      <c r="M69" s="377"/>
      <c r="N69" s="258" t="s">
        <v>562</v>
      </c>
      <c r="O69" s="383"/>
      <c r="P69" s="254">
        <v>2277.6</v>
      </c>
      <c r="Q69" s="255" t="s">
        <v>564</v>
      </c>
      <c r="R69" s="256"/>
      <c r="S69" s="254"/>
      <c r="T69" s="254"/>
      <c r="U69" s="386"/>
      <c r="V69" s="426"/>
      <c r="W69" s="374"/>
      <c r="X69" s="2">
        <v>59</v>
      </c>
    </row>
    <row r="70" spans="1:24" s="85" customFormat="1" ht="54" customHeight="1" x14ac:dyDescent="0.25">
      <c r="A70" s="395">
        <v>8</v>
      </c>
      <c r="B70" s="375" t="s">
        <v>56</v>
      </c>
      <c r="C70" s="375"/>
      <c r="D70" s="375"/>
      <c r="E70" s="375" t="s">
        <v>225</v>
      </c>
      <c r="F70" s="381" t="s">
        <v>226</v>
      </c>
      <c r="G70" s="378" t="s">
        <v>227</v>
      </c>
      <c r="H70" s="384">
        <v>30012.16</v>
      </c>
      <c r="I70" s="387">
        <f>IF(X70 = 60, H70 + SUM(S70:S71) - SUM(T70:T71) - SUM(P70:P71) - V70,0)</f>
        <v>15006.08</v>
      </c>
      <c r="J70" s="433">
        <v>274062111</v>
      </c>
      <c r="K70" s="429" t="s">
        <v>160</v>
      </c>
      <c r="L70" s="375"/>
      <c r="M70" s="375" t="s">
        <v>228</v>
      </c>
      <c r="N70" s="257" t="s">
        <v>374</v>
      </c>
      <c r="O70" s="381" t="s">
        <v>229</v>
      </c>
      <c r="P70" s="253">
        <v>7503.04</v>
      </c>
      <c r="Q70" s="252" t="s">
        <v>372</v>
      </c>
      <c r="R70" s="251"/>
      <c r="S70" s="253"/>
      <c r="T70" s="253"/>
      <c r="U70" s="384"/>
      <c r="V70" s="424"/>
      <c r="W70" s="372"/>
      <c r="X70" s="85">
        <v>60</v>
      </c>
    </row>
    <row r="71" spans="1:24" x14ac:dyDescent="0.25">
      <c r="A71" s="397"/>
      <c r="B71" s="377"/>
      <c r="C71" s="377"/>
      <c r="D71" s="377"/>
      <c r="E71" s="377"/>
      <c r="F71" s="383"/>
      <c r="G71" s="380"/>
      <c r="H71" s="386"/>
      <c r="I71" s="389"/>
      <c r="J71" s="435"/>
      <c r="K71" s="431"/>
      <c r="L71" s="377"/>
      <c r="M71" s="377"/>
      <c r="N71" s="258" t="s">
        <v>514</v>
      </c>
      <c r="O71" s="383"/>
      <c r="P71" s="254">
        <v>7503.04</v>
      </c>
      <c r="Q71" s="255" t="s">
        <v>564</v>
      </c>
      <c r="R71" s="256"/>
      <c r="S71" s="254"/>
      <c r="T71" s="254"/>
      <c r="U71" s="386"/>
      <c r="V71" s="426"/>
      <c r="W71" s="374"/>
      <c r="X71" s="2">
        <v>60</v>
      </c>
    </row>
    <row r="72" spans="1:24" s="85" customFormat="1" ht="127.15" customHeight="1" x14ac:dyDescent="0.25">
      <c r="A72" s="395">
        <v>9</v>
      </c>
      <c r="B72" s="375" t="s">
        <v>56</v>
      </c>
      <c r="C72" s="375"/>
      <c r="D72" s="375"/>
      <c r="E72" s="375" t="s">
        <v>159</v>
      </c>
      <c r="F72" s="381" t="s">
        <v>236</v>
      </c>
      <c r="G72" s="378" t="s">
        <v>259</v>
      </c>
      <c r="H72" s="384">
        <v>114400</v>
      </c>
      <c r="I72" s="387">
        <f>IF(X72 = 61, H72 + SUM(S72:S83) - SUM(T72:T83) - SUM(P72:P83) - V72,0)</f>
        <v>52780</v>
      </c>
      <c r="J72" s="433">
        <v>2353017179</v>
      </c>
      <c r="K72" s="429" t="s">
        <v>166</v>
      </c>
      <c r="L72" s="375"/>
      <c r="M72" s="375" t="s">
        <v>214</v>
      </c>
      <c r="N72" s="257" t="s">
        <v>307</v>
      </c>
      <c r="O72" s="381" t="s">
        <v>260</v>
      </c>
      <c r="P72" s="253">
        <v>4800</v>
      </c>
      <c r="Q72" s="252" t="s">
        <v>314</v>
      </c>
      <c r="R72" s="251"/>
      <c r="S72" s="253"/>
      <c r="T72" s="253"/>
      <c r="U72" s="384"/>
      <c r="V72" s="424"/>
      <c r="W72" s="372"/>
      <c r="X72" s="85">
        <v>61</v>
      </c>
    </row>
    <row r="73" spans="1:24" x14ac:dyDescent="0.25">
      <c r="A73" s="396"/>
      <c r="B73" s="376"/>
      <c r="C73" s="376"/>
      <c r="D73" s="376"/>
      <c r="E73" s="376"/>
      <c r="F73" s="382"/>
      <c r="G73" s="379"/>
      <c r="H73" s="385"/>
      <c r="I73" s="388"/>
      <c r="J73" s="434"/>
      <c r="K73" s="430"/>
      <c r="L73" s="376"/>
      <c r="M73" s="376"/>
      <c r="N73" s="262" t="s">
        <v>307</v>
      </c>
      <c r="O73" s="382"/>
      <c r="P73" s="259">
        <v>5600</v>
      </c>
      <c r="Q73" s="260" t="s">
        <v>314</v>
      </c>
      <c r="R73" s="261"/>
      <c r="S73" s="259"/>
      <c r="T73" s="259"/>
      <c r="U73" s="385"/>
      <c r="V73" s="425"/>
      <c r="W73" s="373"/>
      <c r="X73" s="2">
        <v>61</v>
      </c>
    </row>
    <row r="74" spans="1:24" x14ac:dyDescent="0.25">
      <c r="A74" s="396"/>
      <c r="B74" s="376"/>
      <c r="C74" s="376"/>
      <c r="D74" s="376"/>
      <c r="E74" s="376"/>
      <c r="F74" s="382"/>
      <c r="G74" s="379"/>
      <c r="H74" s="385"/>
      <c r="I74" s="388"/>
      <c r="J74" s="434"/>
      <c r="K74" s="430"/>
      <c r="L74" s="376"/>
      <c r="M74" s="376"/>
      <c r="N74" s="262" t="s">
        <v>345</v>
      </c>
      <c r="O74" s="382"/>
      <c r="P74" s="259">
        <v>4560</v>
      </c>
      <c r="Q74" s="260" t="s">
        <v>349</v>
      </c>
      <c r="R74" s="261"/>
      <c r="S74" s="259"/>
      <c r="T74" s="259"/>
      <c r="U74" s="385"/>
      <c r="V74" s="425"/>
      <c r="W74" s="373"/>
      <c r="X74" s="2">
        <v>61</v>
      </c>
    </row>
    <row r="75" spans="1:24" x14ac:dyDescent="0.25">
      <c r="A75" s="396"/>
      <c r="B75" s="376"/>
      <c r="C75" s="376"/>
      <c r="D75" s="376"/>
      <c r="E75" s="376"/>
      <c r="F75" s="382"/>
      <c r="G75" s="379"/>
      <c r="H75" s="385"/>
      <c r="I75" s="388"/>
      <c r="J75" s="434"/>
      <c r="K75" s="430"/>
      <c r="L75" s="376"/>
      <c r="M75" s="376"/>
      <c r="N75" s="262" t="s">
        <v>345</v>
      </c>
      <c r="O75" s="382"/>
      <c r="P75" s="259">
        <v>5320</v>
      </c>
      <c r="Q75" s="260" t="s">
        <v>349</v>
      </c>
      <c r="R75" s="261"/>
      <c r="S75" s="259"/>
      <c r="T75" s="259"/>
      <c r="U75" s="385"/>
      <c r="V75" s="425"/>
      <c r="W75" s="373"/>
      <c r="X75" s="2">
        <v>61</v>
      </c>
    </row>
    <row r="76" spans="1:24" x14ac:dyDescent="0.25">
      <c r="A76" s="396"/>
      <c r="B76" s="376"/>
      <c r="C76" s="376"/>
      <c r="D76" s="376"/>
      <c r="E76" s="376"/>
      <c r="F76" s="382"/>
      <c r="G76" s="379"/>
      <c r="H76" s="385"/>
      <c r="I76" s="388"/>
      <c r="J76" s="434"/>
      <c r="K76" s="430"/>
      <c r="L76" s="376"/>
      <c r="M76" s="376"/>
      <c r="N76" s="262" t="s">
        <v>371</v>
      </c>
      <c r="O76" s="382"/>
      <c r="P76" s="259">
        <v>3840</v>
      </c>
      <c r="Q76" s="260" t="s">
        <v>376</v>
      </c>
      <c r="R76" s="261"/>
      <c r="S76" s="259"/>
      <c r="T76" s="259"/>
      <c r="U76" s="385"/>
      <c r="V76" s="425"/>
      <c r="W76" s="373"/>
      <c r="X76" s="2">
        <v>61</v>
      </c>
    </row>
    <row r="77" spans="1:24" x14ac:dyDescent="0.25">
      <c r="A77" s="396"/>
      <c r="B77" s="376"/>
      <c r="C77" s="376"/>
      <c r="D77" s="376"/>
      <c r="E77" s="376"/>
      <c r="F77" s="382"/>
      <c r="G77" s="379"/>
      <c r="H77" s="385"/>
      <c r="I77" s="388"/>
      <c r="J77" s="434"/>
      <c r="K77" s="430"/>
      <c r="L77" s="376"/>
      <c r="M77" s="376"/>
      <c r="N77" s="262" t="s">
        <v>371</v>
      </c>
      <c r="O77" s="382"/>
      <c r="P77" s="259">
        <v>4480</v>
      </c>
      <c r="Q77" s="260" t="s">
        <v>376</v>
      </c>
      <c r="R77" s="261"/>
      <c r="S77" s="259"/>
      <c r="T77" s="259"/>
      <c r="U77" s="385"/>
      <c r="V77" s="425"/>
      <c r="W77" s="373"/>
      <c r="X77" s="2">
        <v>61</v>
      </c>
    </row>
    <row r="78" spans="1:24" x14ac:dyDescent="0.25">
      <c r="A78" s="396"/>
      <c r="B78" s="376"/>
      <c r="C78" s="376"/>
      <c r="D78" s="376"/>
      <c r="E78" s="376"/>
      <c r="F78" s="382"/>
      <c r="G78" s="379"/>
      <c r="H78" s="385"/>
      <c r="I78" s="388"/>
      <c r="J78" s="434"/>
      <c r="K78" s="430"/>
      <c r="L78" s="376"/>
      <c r="M78" s="376"/>
      <c r="N78" s="262" t="s">
        <v>460</v>
      </c>
      <c r="O78" s="382"/>
      <c r="P78" s="259">
        <v>5640</v>
      </c>
      <c r="Q78" s="260" t="s">
        <v>464</v>
      </c>
      <c r="R78" s="261"/>
      <c r="S78" s="259"/>
      <c r="T78" s="259"/>
      <c r="U78" s="385"/>
      <c r="V78" s="425"/>
      <c r="W78" s="373"/>
      <c r="X78" s="2">
        <v>61</v>
      </c>
    </row>
    <row r="79" spans="1:24" x14ac:dyDescent="0.25">
      <c r="A79" s="396"/>
      <c r="B79" s="376"/>
      <c r="C79" s="376"/>
      <c r="D79" s="376"/>
      <c r="E79" s="376"/>
      <c r="F79" s="382"/>
      <c r="G79" s="379"/>
      <c r="H79" s="385"/>
      <c r="I79" s="388"/>
      <c r="J79" s="434"/>
      <c r="K79" s="430"/>
      <c r="L79" s="376"/>
      <c r="M79" s="376"/>
      <c r="N79" s="262" t="s">
        <v>460</v>
      </c>
      <c r="O79" s="382"/>
      <c r="P79" s="259">
        <v>6580</v>
      </c>
      <c r="Q79" s="260" t="s">
        <v>464</v>
      </c>
      <c r="R79" s="261"/>
      <c r="S79" s="259"/>
      <c r="T79" s="259"/>
      <c r="U79" s="385"/>
      <c r="V79" s="425"/>
      <c r="W79" s="373"/>
      <c r="X79" s="2">
        <v>61</v>
      </c>
    </row>
    <row r="80" spans="1:24" x14ac:dyDescent="0.25">
      <c r="A80" s="396"/>
      <c r="B80" s="376"/>
      <c r="C80" s="376"/>
      <c r="D80" s="376"/>
      <c r="E80" s="376"/>
      <c r="F80" s="382"/>
      <c r="G80" s="379"/>
      <c r="H80" s="385"/>
      <c r="I80" s="388"/>
      <c r="J80" s="434"/>
      <c r="K80" s="430"/>
      <c r="L80" s="376"/>
      <c r="M80" s="376"/>
      <c r="N80" s="262" t="s">
        <v>470</v>
      </c>
      <c r="O80" s="382"/>
      <c r="P80" s="259">
        <v>5400</v>
      </c>
      <c r="Q80" s="260" t="s">
        <v>509</v>
      </c>
      <c r="R80" s="261"/>
      <c r="S80" s="259"/>
      <c r="T80" s="259"/>
      <c r="U80" s="385"/>
      <c r="V80" s="425"/>
      <c r="W80" s="373"/>
      <c r="X80" s="2">
        <v>61</v>
      </c>
    </row>
    <row r="81" spans="1:24" x14ac:dyDescent="0.25">
      <c r="A81" s="396"/>
      <c r="B81" s="376"/>
      <c r="C81" s="376"/>
      <c r="D81" s="376"/>
      <c r="E81" s="376"/>
      <c r="F81" s="382"/>
      <c r="G81" s="379"/>
      <c r="H81" s="385"/>
      <c r="I81" s="388"/>
      <c r="J81" s="434"/>
      <c r="K81" s="430"/>
      <c r="L81" s="376"/>
      <c r="M81" s="376"/>
      <c r="N81" s="262" t="s">
        <v>470</v>
      </c>
      <c r="O81" s="382"/>
      <c r="P81" s="259">
        <v>6300</v>
      </c>
      <c r="Q81" s="260" t="s">
        <v>509</v>
      </c>
      <c r="R81" s="261"/>
      <c r="S81" s="259"/>
      <c r="T81" s="259"/>
      <c r="U81" s="385"/>
      <c r="V81" s="425"/>
      <c r="W81" s="373"/>
      <c r="X81" s="2">
        <v>61</v>
      </c>
    </row>
    <row r="82" spans="1:24" x14ac:dyDescent="0.25">
      <c r="A82" s="396"/>
      <c r="B82" s="376"/>
      <c r="C82" s="376"/>
      <c r="D82" s="376"/>
      <c r="E82" s="376"/>
      <c r="F82" s="382"/>
      <c r="G82" s="379"/>
      <c r="H82" s="385"/>
      <c r="I82" s="388"/>
      <c r="J82" s="434"/>
      <c r="K82" s="430"/>
      <c r="L82" s="376"/>
      <c r="M82" s="376"/>
      <c r="N82" s="262" t="s">
        <v>562</v>
      </c>
      <c r="O82" s="382"/>
      <c r="P82" s="259">
        <v>4200</v>
      </c>
      <c r="Q82" s="260" t="s">
        <v>564</v>
      </c>
      <c r="R82" s="261"/>
      <c r="S82" s="259"/>
      <c r="T82" s="259"/>
      <c r="U82" s="385"/>
      <c r="V82" s="425"/>
      <c r="W82" s="373"/>
      <c r="X82" s="2">
        <v>61</v>
      </c>
    </row>
    <row r="83" spans="1:24" x14ac:dyDescent="0.25">
      <c r="A83" s="397"/>
      <c r="B83" s="377"/>
      <c r="C83" s="377"/>
      <c r="D83" s="377"/>
      <c r="E83" s="377"/>
      <c r="F83" s="383"/>
      <c r="G83" s="380"/>
      <c r="H83" s="386"/>
      <c r="I83" s="389"/>
      <c r="J83" s="435"/>
      <c r="K83" s="431"/>
      <c r="L83" s="377"/>
      <c r="M83" s="377"/>
      <c r="N83" s="258" t="s">
        <v>562</v>
      </c>
      <c r="O83" s="383"/>
      <c r="P83" s="254">
        <v>4900</v>
      </c>
      <c r="Q83" s="255" t="s">
        <v>564</v>
      </c>
      <c r="R83" s="256"/>
      <c r="S83" s="254"/>
      <c r="T83" s="254"/>
      <c r="U83" s="386"/>
      <c r="V83" s="426"/>
      <c r="W83" s="374"/>
      <c r="X83" s="2">
        <v>61</v>
      </c>
    </row>
    <row r="84" spans="1:24" s="85" customFormat="1" ht="72" customHeight="1" x14ac:dyDescent="0.25">
      <c r="A84" s="355">
        <v>10</v>
      </c>
      <c r="B84" s="325" t="s">
        <v>56</v>
      </c>
      <c r="C84" s="325"/>
      <c r="D84" s="325"/>
      <c r="E84" s="325" t="s">
        <v>248</v>
      </c>
      <c r="F84" s="349" t="s">
        <v>236</v>
      </c>
      <c r="G84" s="346" t="s">
        <v>184</v>
      </c>
      <c r="H84" s="322">
        <v>598920</v>
      </c>
      <c r="I84" s="352">
        <f>IF(X84 = 62, H84 + SUM(S84:S88) - SUM(T84:T88) - SUM(P84:P88) - V84,0)</f>
        <v>4.3655745685100555E-11</v>
      </c>
      <c r="J84" s="420">
        <v>235300578903</v>
      </c>
      <c r="K84" s="422" t="s">
        <v>148</v>
      </c>
      <c r="L84" s="325"/>
      <c r="M84" s="325" t="s">
        <v>249</v>
      </c>
      <c r="N84" s="234" t="s">
        <v>307</v>
      </c>
      <c r="O84" s="349" t="s">
        <v>296</v>
      </c>
      <c r="P84" s="230">
        <v>101430</v>
      </c>
      <c r="Q84" s="229" t="s">
        <v>309</v>
      </c>
      <c r="R84" s="228"/>
      <c r="S84" s="230"/>
      <c r="T84" s="230"/>
      <c r="U84" s="322" t="s">
        <v>520</v>
      </c>
      <c r="V84" s="418">
        <v>51970.8</v>
      </c>
      <c r="W84" s="357"/>
      <c r="X84" s="85">
        <v>62</v>
      </c>
    </row>
    <row r="85" spans="1:24" x14ac:dyDescent="0.25">
      <c r="A85" s="398"/>
      <c r="B85" s="326"/>
      <c r="C85" s="326"/>
      <c r="D85" s="326"/>
      <c r="E85" s="326"/>
      <c r="F85" s="350"/>
      <c r="G85" s="347"/>
      <c r="H85" s="323"/>
      <c r="I85" s="353"/>
      <c r="J85" s="427"/>
      <c r="K85" s="428"/>
      <c r="L85" s="326"/>
      <c r="M85" s="326"/>
      <c r="N85" s="239" t="s">
        <v>345</v>
      </c>
      <c r="O85" s="350"/>
      <c r="P85" s="236">
        <v>107950.5</v>
      </c>
      <c r="Q85" s="237" t="s">
        <v>347</v>
      </c>
      <c r="R85" s="238"/>
      <c r="S85" s="236"/>
      <c r="T85" s="236"/>
      <c r="U85" s="323"/>
      <c r="V85" s="432"/>
      <c r="W85" s="368"/>
      <c r="X85" s="2">
        <v>62</v>
      </c>
    </row>
    <row r="86" spans="1:24" x14ac:dyDescent="0.25">
      <c r="A86" s="398"/>
      <c r="B86" s="326"/>
      <c r="C86" s="326"/>
      <c r="D86" s="326"/>
      <c r="E86" s="326"/>
      <c r="F86" s="350"/>
      <c r="G86" s="347"/>
      <c r="H86" s="323"/>
      <c r="I86" s="353"/>
      <c r="J86" s="427"/>
      <c r="K86" s="428"/>
      <c r="L86" s="326"/>
      <c r="M86" s="326"/>
      <c r="N86" s="239" t="s">
        <v>371</v>
      </c>
      <c r="O86" s="350"/>
      <c r="P86" s="236">
        <v>103555.2</v>
      </c>
      <c r="Q86" s="237" t="s">
        <v>379</v>
      </c>
      <c r="R86" s="238"/>
      <c r="S86" s="236"/>
      <c r="T86" s="236"/>
      <c r="U86" s="323"/>
      <c r="V86" s="432"/>
      <c r="W86" s="368"/>
      <c r="X86" s="2">
        <v>62</v>
      </c>
    </row>
    <row r="87" spans="1:24" x14ac:dyDescent="0.25">
      <c r="A87" s="398"/>
      <c r="B87" s="326"/>
      <c r="C87" s="326"/>
      <c r="D87" s="326"/>
      <c r="E87" s="326"/>
      <c r="F87" s="350"/>
      <c r="G87" s="347"/>
      <c r="H87" s="323"/>
      <c r="I87" s="353"/>
      <c r="J87" s="427"/>
      <c r="K87" s="428"/>
      <c r="L87" s="326"/>
      <c r="M87" s="326"/>
      <c r="N87" s="239" t="s">
        <v>461</v>
      </c>
      <c r="O87" s="350"/>
      <c r="P87" s="236">
        <v>111090</v>
      </c>
      <c r="Q87" s="237" t="s">
        <v>462</v>
      </c>
      <c r="R87" s="238"/>
      <c r="S87" s="236"/>
      <c r="T87" s="236"/>
      <c r="U87" s="323"/>
      <c r="V87" s="432"/>
      <c r="W87" s="368"/>
      <c r="X87" s="2">
        <v>62</v>
      </c>
    </row>
    <row r="88" spans="1:24" x14ac:dyDescent="0.25">
      <c r="A88" s="356"/>
      <c r="B88" s="327"/>
      <c r="C88" s="327"/>
      <c r="D88" s="327"/>
      <c r="E88" s="327"/>
      <c r="F88" s="351"/>
      <c r="G88" s="348"/>
      <c r="H88" s="324"/>
      <c r="I88" s="354"/>
      <c r="J88" s="421"/>
      <c r="K88" s="423"/>
      <c r="L88" s="327"/>
      <c r="M88" s="327"/>
      <c r="N88" s="235" t="s">
        <v>470</v>
      </c>
      <c r="O88" s="351"/>
      <c r="P88" s="231">
        <v>122923.5</v>
      </c>
      <c r="Q88" s="232" t="s">
        <v>509</v>
      </c>
      <c r="R88" s="233"/>
      <c r="S88" s="231"/>
      <c r="T88" s="231"/>
      <c r="U88" s="324"/>
      <c r="V88" s="419"/>
      <c r="W88" s="358"/>
      <c r="X88" s="2">
        <v>62</v>
      </c>
    </row>
    <row r="89" spans="1:24" s="85" customFormat="1" ht="72" customHeight="1" x14ac:dyDescent="0.25">
      <c r="A89" s="399">
        <v>11</v>
      </c>
      <c r="B89" s="405" t="s">
        <v>56</v>
      </c>
      <c r="C89" s="405"/>
      <c r="D89" s="405"/>
      <c r="E89" s="405" t="s">
        <v>277</v>
      </c>
      <c r="F89" s="401" t="s">
        <v>283</v>
      </c>
      <c r="G89" s="411" t="s">
        <v>299</v>
      </c>
      <c r="H89" s="403">
        <v>540855.12</v>
      </c>
      <c r="I89" s="413">
        <f>IF(X89 = 63, H89 + SUM(S89:S104) - SUM(T89:T104) - SUM(P89:P104) - V89,0)</f>
        <v>8.7311491370201111E-11</v>
      </c>
      <c r="J89" s="516">
        <v>2353020735</v>
      </c>
      <c r="K89" s="518" t="s">
        <v>286</v>
      </c>
      <c r="L89" s="405"/>
      <c r="M89" s="405" t="s">
        <v>300</v>
      </c>
      <c r="N89" s="173" t="s">
        <v>307</v>
      </c>
      <c r="O89" s="401" t="s">
        <v>288</v>
      </c>
      <c r="P89" s="166">
        <v>3418.85</v>
      </c>
      <c r="Q89" s="165" t="s">
        <v>313</v>
      </c>
      <c r="R89" s="164" t="s">
        <v>361</v>
      </c>
      <c r="S89" s="166">
        <v>3999.24</v>
      </c>
      <c r="T89" s="166"/>
      <c r="U89" s="403" t="s">
        <v>521</v>
      </c>
      <c r="V89" s="511">
        <v>133339.26999999999</v>
      </c>
      <c r="W89" s="409"/>
      <c r="X89" s="85">
        <v>63</v>
      </c>
    </row>
    <row r="90" spans="1:24" x14ac:dyDescent="0.25">
      <c r="A90" s="507"/>
      <c r="B90" s="510"/>
      <c r="C90" s="510"/>
      <c r="D90" s="510"/>
      <c r="E90" s="510"/>
      <c r="F90" s="508"/>
      <c r="G90" s="514"/>
      <c r="H90" s="509"/>
      <c r="I90" s="515"/>
      <c r="J90" s="517"/>
      <c r="K90" s="519"/>
      <c r="L90" s="510"/>
      <c r="M90" s="510"/>
      <c r="N90" s="174" t="s">
        <v>316</v>
      </c>
      <c r="O90" s="508"/>
      <c r="P90" s="167">
        <v>5033.3100000000004</v>
      </c>
      <c r="Q90" s="168" t="s">
        <v>313</v>
      </c>
      <c r="R90" s="169"/>
      <c r="S90" s="167"/>
      <c r="T90" s="167"/>
      <c r="U90" s="509"/>
      <c r="V90" s="512"/>
      <c r="W90" s="513"/>
      <c r="X90" s="2">
        <v>63</v>
      </c>
    </row>
    <row r="91" spans="1:24" x14ac:dyDescent="0.25">
      <c r="A91" s="507"/>
      <c r="B91" s="510"/>
      <c r="C91" s="510"/>
      <c r="D91" s="510"/>
      <c r="E91" s="510"/>
      <c r="F91" s="508"/>
      <c r="G91" s="514"/>
      <c r="H91" s="509"/>
      <c r="I91" s="515"/>
      <c r="J91" s="517"/>
      <c r="K91" s="519"/>
      <c r="L91" s="510"/>
      <c r="M91" s="510"/>
      <c r="N91" s="174" t="s">
        <v>312</v>
      </c>
      <c r="O91" s="508"/>
      <c r="P91" s="167">
        <v>21396.01</v>
      </c>
      <c r="Q91" s="168" t="s">
        <v>314</v>
      </c>
      <c r="R91" s="169"/>
      <c r="S91" s="167"/>
      <c r="T91" s="167"/>
      <c r="U91" s="509"/>
      <c r="V91" s="512"/>
      <c r="W91" s="513"/>
      <c r="X91" s="2">
        <v>63</v>
      </c>
    </row>
    <row r="92" spans="1:24" x14ac:dyDescent="0.25">
      <c r="A92" s="507"/>
      <c r="B92" s="510"/>
      <c r="C92" s="510"/>
      <c r="D92" s="510"/>
      <c r="E92" s="510"/>
      <c r="F92" s="508"/>
      <c r="G92" s="514"/>
      <c r="H92" s="509"/>
      <c r="I92" s="515"/>
      <c r="J92" s="517"/>
      <c r="K92" s="519"/>
      <c r="L92" s="510"/>
      <c r="M92" s="510"/>
      <c r="N92" s="174" t="s">
        <v>312</v>
      </c>
      <c r="O92" s="508"/>
      <c r="P92" s="167">
        <v>1365.73</v>
      </c>
      <c r="Q92" s="168" t="s">
        <v>314</v>
      </c>
      <c r="R92" s="169"/>
      <c r="S92" s="167"/>
      <c r="T92" s="167"/>
      <c r="U92" s="509"/>
      <c r="V92" s="512"/>
      <c r="W92" s="513"/>
      <c r="X92" s="2">
        <v>63</v>
      </c>
    </row>
    <row r="93" spans="1:24" x14ac:dyDescent="0.25">
      <c r="A93" s="507"/>
      <c r="B93" s="510"/>
      <c r="C93" s="510"/>
      <c r="D93" s="510"/>
      <c r="E93" s="510"/>
      <c r="F93" s="508"/>
      <c r="G93" s="514"/>
      <c r="H93" s="509"/>
      <c r="I93" s="515"/>
      <c r="J93" s="517"/>
      <c r="K93" s="519"/>
      <c r="L93" s="510"/>
      <c r="M93" s="510"/>
      <c r="N93" s="174" t="s">
        <v>307</v>
      </c>
      <c r="O93" s="508"/>
      <c r="P93" s="167">
        <v>53560.87</v>
      </c>
      <c r="Q93" s="168" t="s">
        <v>314</v>
      </c>
      <c r="R93" s="169"/>
      <c r="S93" s="167"/>
      <c r="T93" s="167"/>
      <c r="U93" s="509"/>
      <c r="V93" s="512"/>
      <c r="W93" s="513"/>
      <c r="X93" s="2">
        <v>63</v>
      </c>
    </row>
    <row r="94" spans="1:24" x14ac:dyDescent="0.25">
      <c r="A94" s="507"/>
      <c r="B94" s="510"/>
      <c r="C94" s="510"/>
      <c r="D94" s="510"/>
      <c r="E94" s="510"/>
      <c r="F94" s="508"/>
      <c r="G94" s="514"/>
      <c r="H94" s="509"/>
      <c r="I94" s="515"/>
      <c r="J94" s="517"/>
      <c r="K94" s="519"/>
      <c r="L94" s="510"/>
      <c r="M94" s="510"/>
      <c r="N94" s="174" t="s">
        <v>316</v>
      </c>
      <c r="O94" s="508"/>
      <c r="P94" s="167">
        <v>78853.5</v>
      </c>
      <c r="Q94" s="168" t="s">
        <v>314</v>
      </c>
      <c r="R94" s="169"/>
      <c r="S94" s="167"/>
      <c r="T94" s="167"/>
      <c r="U94" s="509"/>
      <c r="V94" s="512"/>
      <c r="W94" s="513"/>
      <c r="X94" s="2">
        <v>63</v>
      </c>
    </row>
    <row r="95" spans="1:24" x14ac:dyDescent="0.25">
      <c r="A95" s="507"/>
      <c r="B95" s="510"/>
      <c r="C95" s="510"/>
      <c r="D95" s="510"/>
      <c r="E95" s="510"/>
      <c r="F95" s="508"/>
      <c r="G95" s="514"/>
      <c r="H95" s="509"/>
      <c r="I95" s="515"/>
      <c r="J95" s="517"/>
      <c r="K95" s="519"/>
      <c r="L95" s="510"/>
      <c r="M95" s="510"/>
      <c r="N95" s="174" t="s">
        <v>315</v>
      </c>
      <c r="O95" s="508"/>
      <c r="P95" s="167">
        <v>64258.87</v>
      </c>
      <c r="Q95" s="168" t="s">
        <v>344</v>
      </c>
      <c r="R95" s="169"/>
      <c r="S95" s="167"/>
      <c r="T95" s="167"/>
      <c r="U95" s="509"/>
      <c r="V95" s="512"/>
      <c r="W95" s="513"/>
      <c r="X95" s="2">
        <v>63</v>
      </c>
    </row>
    <row r="96" spans="1:24" x14ac:dyDescent="0.25">
      <c r="A96" s="507"/>
      <c r="B96" s="510"/>
      <c r="C96" s="510"/>
      <c r="D96" s="510"/>
      <c r="E96" s="510"/>
      <c r="F96" s="508"/>
      <c r="G96" s="514"/>
      <c r="H96" s="509"/>
      <c r="I96" s="515"/>
      <c r="J96" s="517"/>
      <c r="K96" s="519"/>
      <c r="L96" s="510"/>
      <c r="M96" s="510"/>
      <c r="N96" s="174" t="s">
        <v>315</v>
      </c>
      <c r="O96" s="508"/>
      <c r="P96" s="167">
        <v>4101.72</v>
      </c>
      <c r="Q96" s="168" t="s">
        <v>344</v>
      </c>
      <c r="R96" s="169"/>
      <c r="S96" s="167"/>
      <c r="T96" s="167"/>
      <c r="U96" s="509"/>
      <c r="V96" s="512"/>
      <c r="W96" s="513"/>
      <c r="X96" s="2">
        <v>63</v>
      </c>
    </row>
    <row r="97" spans="1:24" x14ac:dyDescent="0.25">
      <c r="A97" s="507"/>
      <c r="B97" s="510"/>
      <c r="C97" s="510"/>
      <c r="D97" s="510"/>
      <c r="E97" s="510"/>
      <c r="F97" s="508"/>
      <c r="G97" s="514"/>
      <c r="H97" s="509"/>
      <c r="I97" s="515"/>
      <c r="J97" s="517"/>
      <c r="K97" s="519"/>
      <c r="L97" s="510"/>
      <c r="M97" s="510"/>
      <c r="N97" s="174" t="s">
        <v>346</v>
      </c>
      <c r="O97" s="508"/>
      <c r="P97" s="167">
        <v>22033.64</v>
      </c>
      <c r="Q97" s="168" t="s">
        <v>357</v>
      </c>
      <c r="R97" s="169"/>
      <c r="S97" s="167"/>
      <c r="T97" s="167"/>
      <c r="U97" s="509"/>
      <c r="V97" s="512"/>
      <c r="W97" s="513"/>
      <c r="X97" s="2">
        <v>63</v>
      </c>
    </row>
    <row r="98" spans="1:24" x14ac:dyDescent="0.25">
      <c r="A98" s="507"/>
      <c r="B98" s="510"/>
      <c r="C98" s="510"/>
      <c r="D98" s="510"/>
      <c r="E98" s="510"/>
      <c r="F98" s="508"/>
      <c r="G98" s="514"/>
      <c r="H98" s="509"/>
      <c r="I98" s="515"/>
      <c r="J98" s="517"/>
      <c r="K98" s="519"/>
      <c r="L98" s="510"/>
      <c r="M98" s="510"/>
      <c r="N98" s="174" t="s">
        <v>346</v>
      </c>
      <c r="O98" s="508"/>
      <c r="P98" s="167">
        <v>1406.43</v>
      </c>
      <c r="Q98" s="168" t="s">
        <v>357</v>
      </c>
      <c r="R98" s="169"/>
      <c r="S98" s="167"/>
      <c r="T98" s="167"/>
      <c r="U98" s="509"/>
      <c r="V98" s="512"/>
      <c r="W98" s="513"/>
      <c r="X98" s="2">
        <v>63</v>
      </c>
    </row>
    <row r="99" spans="1:24" x14ac:dyDescent="0.25">
      <c r="A99" s="507"/>
      <c r="B99" s="510"/>
      <c r="C99" s="510"/>
      <c r="D99" s="510"/>
      <c r="E99" s="510"/>
      <c r="F99" s="508"/>
      <c r="G99" s="514"/>
      <c r="H99" s="509"/>
      <c r="I99" s="515"/>
      <c r="J99" s="517"/>
      <c r="K99" s="519"/>
      <c r="L99" s="510"/>
      <c r="M99" s="510"/>
      <c r="N99" s="174" t="s">
        <v>345</v>
      </c>
      <c r="O99" s="508"/>
      <c r="P99" s="167">
        <v>39320.480000000003</v>
      </c>
      <c r="Q99" s="168" t="s">
        <v>357</v>
      </c>
      <c r="R99" s="169"/>
      <c r="S99" s="167"/>
      <c r="T99" s="167"/>
      <c r="U99" s="509"/>
      <c r="V99" s="512"/>
      <c r="W99" s="513"/>
      <c r="X99" s="2">
        <v>63</v>
      </c>
    </row>
    <row r="100" spans="1:24" x14ac:dyDescent="0.25">
      <c r="A100" s="507"/>
      <c r="B100" s="510"/>
      <c r="C100" s="510"/>
      <c r="D100" s="510"/>
      <c r="E100" s="510"/>
      <c r="F100" s="508"/>
      <c r="G100" s="514"/>
      <c r="H100" s="509"/>
      <c r="I100" s="515"/>
      <c r="J100" s="517"/>
      <c r="K100" s="519"/>
      <c r="L100" s="510"/>
      <c r="M100" s="510"/>
      <c r="N100" s="174" t="s">
        <v>345</v>
      </c>
      <c r="O100" s="508"/>
      <c r="P100" s="167">
        <v>2509.87</v>
      </c>
      <c r="Q100" s="168" t="s">
        <v>357</v>
      </c>
      <c r="R100" s="169"/>
      <c r="S100" s="167"/>
      <c r="T100" s="167"/>
      <c r="U100" s="509"/>
      <c r="V100" s="512"/>
      <c r="W100" s="513"/>
      <c r="X100" s="2">
        <v>63</v>
      </c>
    </row>
    <row r="101" spans="1:24" x14ac:dyDescent="0.25">
      <c r="A101" s="507"/>
      <c r="B101" s="510"/>
      <c r="C101" s="510"/>
      <c r="D101" s="510"/>
      <c r="E101" s="510"/>
      <c r="F101" s="508"/>
      <c r="G101" s="514"/>
      <c r="H101" s="509"/>
      <c r="I101" s="515"/>
      <c r="J101" s="517"/>
      <c r="K101" s="519"/>
      <c r="L101" s="510"/>
      <c r="M101" s="510"/>
      <c r="N101" s="174" t="s">
        <v>357</v>
      </c>
      <c r="O101" s="508"/>
      <c r="P101" s="167">
        <v>61540.42</v>
      </c>
      <c r="Q101" s="168" t="s">
        <v>354</v>
      </c>
      <c r="R101" s="169"/>
      <c r="S101" s="167"/>
      <c r="T101" s="167"/>
      <c r="U101" s="509"/>
      <c r="V101" s="512"/>
      <c r="W101" s="513"/>
      <c r="X101" s="2">
        <v>63</v>
      </c>
    </row>
    <row r="102" spans="1:24" x14ac:dyDescent="0.25">
      <c r="A102" s="507"/>
      <c r="B102" s="510"/>
      <c r="C102" s="510"/>
      <c r="D102" s="510"/>
      <c r="E102" s="510"/>
      <c r="F102" s="508"/>
      <c r="G102" s="514"/>
      <c r="H102" s="509"/>
      <c r="I102" s="515"/>
      <c r="J102" s="517"/>
      <c r="K102" s="519"/>
      <c r="L102" s="510"/>
      <c r="M102" s="510"/>
      <c r="N102" s="174" t="s">
        <v>357</v>
      </c>
      <c r="O102" s="508"/>
      <c r="P102" s="167">
        <v>3928.19</v>
      </c>
      <c r="Q102" s="168" t="s">
        <v>354</v>
      </c>
      <c r="R102" s="169"/>
      <c r="S102" s="167"/>
      <c r="T102" s="167"/>
      <c r="U102" s="509"/>
      <c r="V102" s="512"/>
      <c r="W102" s="513"/>
      <c r="X102" s="2">
        <v>63</v>
      </c>
    </row>
    <row r="103" spans="1:24" x14ac:dyDescent="0.25">
      <c r="A103" s="507"/>
      <c r="B103" s="510"/>
      <c r="C103" s="510"/>
      <c r="D103" s="510"/>
      <c r="E103" s="510"/>
      <c r="F103" s="508"/>
      <c r="G103" s="514"/>
      <c r="H103" s="509"/>
      <c r="I103" s="515"/>
      <c r="J103" s="517"/>
      <c r="K103" s="519"/>
      <c r="L103" s="510"/>
      <c r="M103" s="510"/>
      <c r="N103" s="174" t="s">
        <v>383</v>
      </c>
      <c r="O103" s="508"/>
      <c r="P103" s="167">
        <v>45859.91</v>
      </c>
      <c r="Q103" s="168" t="s">
        <v>378</v>
      </c>
      <c r="R103" s="169"/>
      <c r="S103" s="167"/>
      <c r="T103" s="167"/>
      <c r="U103" s="509"/>
      <c r="V103" s="512"/>
      <c r="W103" s="513"/>
      <c r="X103" s="2">
        <v>63</v>
      </c>
    </row>
    <row r="104" spans="1:24" x14ac:dyDescent="0.25">
      <c r="A104" s="400"/>
      <c r="B104" s="406"/>
      <c r="C104" s="406"/>
      <c r="D104" s="406"/>
      <c r="E104" s="406"/>
      <c r="F104" s="402"/>
      <c r="G104" s="412"/>
      <c r="H104" s="404"/>
      <c r="I104" s="414"/>
      <c r="J104" s="520"/>
      <c r="K104" s="521"/>
      <c r="L104" s="406"/>
      <c r="M104" s="406"/>
      <c r="N104" s="175" t="s">
        <v>383</v>
      </c>
      <c r="O104" s="402"/>
      <c r="P104" s="170">
        <v>2927.29</v>
      </c>
      <c r="Q104" s="171" t="s">
        <v>378</v>
      </c>
      <c r="R104" s="172"/>
      <c r="S104" s="170"/>
      <c r="T104" s="170"/>
      <c r="U104" s="404"/>
      <c r="V104" s="522"/>
      <c r="W104" s="410"/>
      <c r="X104" s="2">
        <v>63</v>
      </c>
    </row>
    <row r="105" spans="1:24" s="85" customFormat="1" ht="72" customHeight="1" x14ac:dyDescent="0.25">
      <c r="A105" s="399">
        <v>12</v>
      </c>
      <c r="B105" s="405" t="s">
        <v>56</v>
      </c>
      <c r="C105" s="405"/>
      <c r="D105" s="405"/>
      <c r="E105" s="405" t="s">
        <v>297</v>
      </c>
      <c r="F105" s="401" t="s">
        <v>283</v>
      </c>
      <c r="G105" s="411" t="s">
        <v>301</v>
      </c>
      <c r="H105" s="403">
        <v>179400</v>
      </c>
      <c r="I105" s="413">
        <f>IF(X105 = 65, H105 + SUM(S105:S112) - SUM(T105:T112) - SUM(P105:P112) - V105,0)</f>
        <v>0</v>
      </c>
      <c r="J105" s="516">
        <v>2353020735</v>
      </c>
      <c r="K105" s="518" t="s">
        <v>286</v>
      </c>
      <c r="L105" s="405"/>
      <c r="M105" s="405" t="s">
        <v>300</v>
      </c>
      <c r="N105" s="173" t="s">
        <v>307</v>
      </c>
      <c r="O105" s="401" t="s">
        <v>288</v>
      </c>
      <c r="P105" s="166">
        <v>18900</v>
      </c>
      <c r="Q105" s="165" t="s">
        <v>313</v>
      </c>
      <c r="R105" s="164"/>
      <c r="S105" s="166"/>
      <c r="T105" s="166"/>
      <c r="U105" s="403" t="s">
        <v>521</v>
      </c>
      <c r="V105" s="511">
        <v>41725</v>
      </c>
      <c r="W105" s="409"/>
      <c r="X105" s="85">
        <v>65</v>
      </c>
    </row>
    <row r="106" spans="1:24" x14ac:dyDescent="0.25">
      <c r="A106" s="507"/>
      <c r="B106" s="510"/>
      <c r="C106" s="510"/>
      <c r="D106" s="510"/>
      <c r="E106" s="510"/>
      <c r="F106" s="508"/>
      <c r="G106" s="514"/>
      <c r="H106" s="509"/>
      <c r="I106" s="515"/>
      <c r="J106" s="517"/>
      <c r="K106" s="519"/>
      <c r="L106" s="510"/>
      <c r="M106" s="510"/>
      <c r="N106" s="174" t="s">
        <v>316</v>
      </c>
      <c r="O106" s="508"/>
      <c r="P106" s="167">
        <v>27825</v>
      </c>
      <c r="Q106" s="168" t="s">
        <v>313</v>
      </c>
      <c r="R106" s="169"/>
      <c r="S106" s="167"/>
      <c r="T106" s="167"/>
      <c r="U106" s="509"/>
      <c r="V106" s="512"/>
      <c r="W106" s="513"/>
      <c r="X106" s="2">
        <v>65</v>
      </c>
    </row>
    <row r="107" spans="1:24" x14ac:dyDescent="0.25">
      <c r="A107" s="507"/>
      <c r="B107" s="510"/>
      <c r="C107" s="510"/>
      <c r="D107" s="510"/>
      <c r="E107" s="510"/>
      <c r="F107" s="508"/>
      <c r="G107" s="514"/>
      <c r="H107" s="509"/>
      <c r="I107" s="515"/>
      <c r="J107" s="517"/>
      <c r="K107" s="519"/>
      <c r="L107" s="510"/>
      <c r="M107" s="510"/>
      <c r="N107" s="174" t="s">
        <v>312</v>
      </c>
      <c r="O107" s="508"/>
      <c r="P107" s="167">
        <v>7550</v>
      </c>
      <c r="Q107" s="168" t="s">
        <v>314</v>
      </c>
      <c r="R107" s="169"/>
      <c r="S107" s="167"/>
      <c r="T107" s="167"/>
      <c r="U107" s="509"/>
      <c r="V107" s="512"/>
      <c r="W107" s="513"/>
      <c r="X107" s="2">
        <v>65</v>
      </c>
    </row>
    <row r="108" spans="1:24" x14ac:dyDescent="0.25">
      <c r="A108" s="507"/>
      <c r="B108" s="510"/>
      <c r="C108" s="510"/>
      <c r="D108" s="510"/>
      <c r="E108" s="510"/>
      <c r="F108" s="508"/>
      <c r="G108" s="514"/>
      <c r="H108" s="509"/>
      <c r="I108" s="515"/>
      <c r="J108" s="517"/>
      <c r="K108" s="519"/>
      <c r="L108" s="510"/>
      <c r="M108" s="510"/>
      <c r="N108" s="174" t="s">
        <v>315</v>
      </c>
      <c r="O108" s="508"/>
      <c r="P108" s="167">
        <v>22675</v>
      </c>
      <c r="Q108" s="168" t="s">
        <v>344</v>
      </c>
      <c r="R108" s="169"/>
      <c r="S108" s="167"/>
      <c r="T108" s="167"/>
      <c r="U108" s="509"/>
      <c r="V108" s="512"/>
      <c r="W108" s="513"/>
      <c r="X108" s="2">
        <v>65</v>
      </c>
    </row>
    <row r="109" spans="1:24" x14ac:dyDescent="0.25">
      <c r="A109" s="507"/>
      <c r="B109" s="510"/>
      <c r="C109" s="510"/>
      <c r="D109" s="510"/>
      <c r="E109" s="510"/>
      <c r="F109" s="508"/>
      <c r="G109" s="514"/>
      <c r="H109" s="509"/>
      <c r="I109" s="515"/>
      <c r="J109" s="517"/>
      <c r="K109" s="519"/>
      <c r="L109" s="510"/>
      <c r="M109" s="510"/>
      <c r="N109" s="174" t="s">
        <v>345</v>
      </c>
      <c r="O109" s="508"/>
      <c r="P109" s="167">
        <v>13875</v>
      </c>
      <c r="Q109" s="168" t="s">
        <v>355</v>
      </c>
      <c r="R109" s="169"/>
      <c r="S109" s="167"/>
      <c r="T109" s="167"/>
      <c r="U109" s="509"/>
      <c r="V109" s="512"/>
      <c r="W109" s="513"/>
      <c r="X109" s="2">
        <v>65</v>
      </c>
    </row>
    <row r="110" spans="1:24" x14ac:dyDescent="0.25">
      <c r="A110" s="507"/>
      <c r="B110" s="510"/>
      <c r="C110" s="510"/>
      <c r="D110" s="510"/>
      <c r="E110" s="510"/>
      <c r="F110" s="508"/>
      <c r="G110" s="514"/>
      <c r="H110" s="509"/>
      <c r="I110" s="515"/>
      <c r="J110" s="517"/>
      <c r="K110" s="519"/>
      <c r="L110" s="510"/>
      <c r="M110" s="510"/>
      <c r="N110" s="174" t="s">
        <v>346</v>
      </c>
      <c r="O110" s="508"/>
      <c r="P110" s="167">
        <v>7775</v>
      </c>
      <c r="Q110" s="168" t="s">
        <v>350</v>
      </c>
      <c r="R110" s="169"/>
      <c r="S110" s="167"/>
      <c r="T110" s="167"/>
      <c r="U110" s="509"/>
      <c r="V110" s="512"/>
      <c r="W110" s="513"/>
      <c r="X110" s="2">
        <v>65</v>
      </c>
    </row>
    <row r="111" spans="1:24" x14ac:dyDescent="0.25">
      <c r="A111" s="507"/>
      <c r="B111" s="510"/>
      <c r="C111" s="510"/>
      <c r="D111" s="510"/>
      <c r="E111" s="510"/>
      <c r="F111" s="508"/>
      <c r="G111" s="514"/>
      <c r="H111" s="509"/>
      <c r="I111" s="515"/>
      <c r="J111" s="517"/>
      <c r="K111" s="519"/>
      <c r="L111" s="510"/>
      <c r="M111" s="510"/>
      <c r="N111" s="174" t="s">
        <v>357</v>
      </c>
      <c r="O111" s="508"/>
      <c r="P111" s="167">
        <v>23325</v>
      </c>
      <c r="Q111" s="168" t="s">
        <v>354</v>
      </c>
      <c r="R111" s="169"/>
      <c r="S111" s="167"/>
      <c r="T111" s="167"/>
      <c r="U111" s="509"/>
      <c r="V111" s="512"/>
      <c r="W111" s="513"/>
      <c r="X111" s="2">
        <v>65</v>
      </c>
    </row>
    <row r="112" spans="1:24" x14ac:dyDescent="0.25">
      <c r="A112" s="400"/>
      <c r="B112" s="406"/>
      <c r="C112" s="406"/>
      <c r="D112" s="406"/>
      <c r="E112" s="406"/>
      <c r="F112" s="402"/>
      <c r="G112" s="412"/>
      <c r="H112" s="404"/>
      <c r="I112" s="414"/>
      <c r="J112" s="520"/>
      <c r="K112" s="521"/>
      <c r="L112" s="406"/>
      <c r="M112" s="406"/>
      <c r="N112" s="175" t="s">
        <v>383</v>
      </c>
      <c r="O112" s="402"/>
      <c r="P112" s="170">
        <v>15750</v>
      </c>
      <c r="Q112" s="171" t="s">
        <v>377</v>
      </c>
      <c r="R112" s="172"/>
      <c r="S112" s="170"/>
      <c r="T112" s="170"/>
      <c r="U112" s="404"/>
      <c r="V112" s="522"/>
      <c r="W112" s="410"/>
      <c r="X112" s="2">
        <v>65</v>
      </c>
    </row>
    <row r="113" spans="1:24" s="85" customFormat="1" ht="87.6" customHeight="1" x14ac:dyDescent="0.25">
      <c r="A113" s="355">
        <v>13</v>
      </c>
      <c r="B113" s="325" t="s">
        <v>56</v>
      </c>
      <c r="C113" s="325"/>
      <c r="D113" s="325"/>
      <c r="E113" s="325" t="s">
        <v>298</v>
      </c>
      <c r="F113" s="349" t="s">
        <v>283</v>
      </c>
      <c r="G113" s="346" t="s">
        <v>302</v>
      </c>
      <c r="H113" s="322">
        <v>66360</v>
      </c>
      <c r="I113" s="352">
        <f>IF(X113 = 66, H113 + SUM(S113:S122) - SUM(T113:T122) - SUM(P113:P122) - V113,0)</f>
        <v>0</v>
      </c>
      <c r="J113" s="420">
        <v>2353020735</v>
      </c>
      <c r="K113" s="422" t="s">
        <v>286</v>
      </c>
      <c r="L113" s="325"/>
      <c r="M113" s="325" t="s">
        <v>287</v>
      </c>
      <c r="N113" s="234" t="s">
        <v>307</v>
      </c>
      <c r="O113" s="349" t="s">
        <v>288</v>
      </c>
      <c r="P113" s="230">
        <v>4572</v>
      </c>
      <c r="Q113" s="229" t="s">
        <v>311</v>
      </c>
      <c r="R113" s="228"/>
      <c r="S113" s="230"/>
      <c r="T113" s="230"/>
      <c r="U113" s="322" t="s">
        <v>517</v>
      </c>
      <c r="V113" s="418">
        <v>29534</v>
      </c>
      <c r="W113" s="357"/>
      <c r="X113" s="85">
        <v>66</v>
      </c>
    </row>
    <row r="114" spans="1:24" x14ac:dyDescent="0.25">
      <c r="A114" s="398"/>
      <c r="B114" s="326"/>
      <c r="C114" s="326"/>
      <c r="D114" s="326"/>
      <c r="E114" s="326"/>
      <c r="F114" s="350"/>
      <c r="G114" s="347"/>
      <c r="H114" s="323"/>
      <c r="I114" s="353"/>
      <c r="J114" s="427"/>
      <c r="K114" s="428"/>
      <c r="L114" s="326"/>
      <c r="M114" s="326"/>
      <c r="N114" s="239" t="s">
        <v>307</v>
      </c>
      <c r="O114" s="350"/>
      <c r="P114" s="236">
        <v>4010</v>
      </c>
      <c r="Q114" s="237" t="s">
        <v>311</v>
      </c>
      <c r="R114" s="238"/>
      <c r="S114" s="236"/>
      <c r="T114" s="236"/>
      <c r="U114" s="323"/>
      <c r="V114" s="432"/>
      <c r="W114" s="368"/>
      <c r="X114" s="2">
        <v>66</v>
      </c>
    </row>
    <row r="115" spans="1:24" x14ac:dyDescent="0.25">
      <c r="A115" s="398"/>
      <c r="B115" s="326"/>
      <c r="C115" s="326"/>
      <c r="D115" s="326"/>
      <c r="E115" s="326"/>
      <c r="F115" s="350"/>
      <c r="G115" s="347"/>
      <c r="H115" s="323"/>
      <c r="I115" s="353"/>
      <c r="J115" s="427"/>
      <c r="K115" s="428"/>
      <c r="L115" s="326"/>
      <c r="M115" s="326"/>
      <c r="N115" s="239" t="s">
        <v>345</v>
      </c>
      <c r="O115" s="350"/>
      <c r="P115" s="236">
        <v>4494</v>
      </c>
      <c r="Q115" s="237" t="s">
        <v>355</v>
      </c>
      <c r="R115" s="238"/>
      <c r="S115" s="236"/>
      <c r="T115" s="236"/>
      <c r="U115" s="323"/>
      <c r="V115" s="432"/>
      <c r="W115" s="368"/>
      <c r="X115" s="2">
        <v>66</v>
      </c>
    </row>
    <row r="116" spans="1:24" x14ac:dyDescent="0.25">
      <c r="A116" s="398"/>
      <c r="B116" s="326"/>
      <c r="C116" s="326"/>
      <c r="D116" s="326"/>
      <c r="E116" s="326"/>
      <c r="F116" s="350"/>
      <c r="G116" s="347"/>
      <c r="H116" s="323"/>
      <c r="I116" s="353"/>
      <c r="J116" s="427"/>
      <c r="K116" s="428"/>
      <c r="L116" s="326"/>
      <c r="M116" s="326"/>
      <c r="N116" s="239" t="s">
        <v>345</v>
      </c>
      <c r="O116" s="350"/>
      <c r="P116" s="236">
        <v>2610</v>
      </c>
      <c r="Q116" s="237" t="s">
        <v>355</v>
      </c>
      <c r="R116" s="238"/>
      <c r="S116" s="236"/>
      <c r="T116" s="236"/>
      <c r="U116" s="323"/>
      <c r="V116" s="432"/>
      <c r="W116" s="368"/>
      <c r="X116" s="2">
        <v>66</v>
      </c>
    </row>
    <row r="117" spans="1:24" x14ac:dyDescent="0.25">
      <c r="A117" s="398"/>
      <c r="B117" s="326"/>
      <c r="C117" s="326"/>
      <c r="D117" s="326"/>
      <c r="E117" s="326"/>
      <c r="F117" s="350"/>
      <c r="G117" s="347"/>
      <c r="H117" s="323"/>
      <c r="I117" s="353"/>
      <c r="J117" s="427"/>
      <c r="K117" s="428"/>
      <c r="L117" s="326"/>
      <c r="M117" s="326"/>
      <c r="N117" s="239" t="s">
        <v>383</v>
      </c>
      <c r="O117" s="350"/>
      <c r="P117" s="236">
        <v>4554</v>
      </c>
      <c r="Q117" s="237" t="s">
        <v>376</v>
      </c>
      <c r="R117" s="238"/>
      <c r="S117" s="236"/>
      <c r="T117" s="236"/>
      <c r="U117" s="323"/>
      <c r="V117" s="432"/>
      <c r="W117" s="368"/>
      <c r="X117" s="2">
        <v>66</v>
      </c>
    </row>
    <row r="118" spans="1:24" x14ac:dyDescent="0.25">
      <c r="A118" s="398"/>
      <c r="B118" s="326"/>
      <c r="C118" s="326"/>
      <c r="D118" s="326"/>
      <c r="E118" s="326"/>
      <c r="F118" s="350"/>
      <c r="G118" s="347"/>
      <c r="H118" s="323"/>
      <c r="I118" s="353"/>
      <c r="J118" s="427"/>
      <c r="K118" s="428"/>
      <c r="L118" s="326"/>
      <c r="M118" s="326"/>
      <c r="N118" s="239" t="s">
        <v>383</v>
      </c>
      <c r="O118" s="350"/>
      <c r="P118" s="236">
        <v>2530</v>
      </c>
      <c r="Q118" s="237" t="s">
        <v>376</v>
      </c>
      <c r="R118" s="238"/>
      <c r="S118" s="236"/>
      <c r="T118" s="236"/>
      <c r="U118" s="323"/>
      <c r="V118" s="432"/>
      <c r="W118" s="368"/>
      <c r="X118" s="2">
        <v>66</v>
      </c>
    </row>
    <row r="119" spans="1:24" x14ac:dyDescent="0.25">
      <c r="A119" s="398"/>
      <c r="B119" s="326"/>
      <c r="C119" s="326"/>
      <c r="D119" s="326"/>
      <c r="E119" s="326"/>
      <c r="F119" s="350"/>
      <c r="G119" s="347"/>
      <c r="H119" s="323"/>
      <c r="I119" s="353"/>
      <c r="J119" s="427"/>
      <c r="K119" s="428"/>
      <c r="L119" s="326"/>
      <c r="M119" s="326"/>
      <c r="N119" s="239" t="s">
        <v>459</v>
      </c>
      <c r="O119" s="350"/>
      <c r="P119" s="236">
        <v>5730</v>
      </c>
      <c r="Q119" s="237" t="s">
        <v>463</v>
      </c>
      <c r="R119" s="238"/>
      <c r="S119" s="236"/>
      <c r="T119" s="236"/>
      <c r="U119" s="323"/>
      <c r="V119" s="432"/>
      <c r="W119" s="368"/>
      <c r="X119" s="2">
        <v>66</v>
      </c>
    </row>
    <row r="120" spans="1:24" x14ac:dyDescent="0.25">
      <c r="A120" s="398"/>
      <c r="B120" s="326"/>
      <c r="C120" s="326"/>
      <c r="D120" s="326"/>
      <c r="E120" s="326"/>
      <c r="F120" s="350"/>
      <c r="G120" s="347"/>
      <c r="H120" s="323"/>
      <c r="I120" s="353"/>
      <c r="J120" s="427"/>
      <c r="K120" s="428"/>
      <c r="L120" s="326"/>
      <c r="M120" s="326"/>
      <c r="N120" s="239" t="s">
        <v>459</v>
      </c>
      <c r="O120" s="350"/>
      <c r="P120" s="236">
        <v>3080</v>
      </c>
      <c r="Q120" s="237" t="s">
        <v>463</v>
      </c>
      <c r="R120" s="238"/>
      <c r="S120" s="236"/>
      <c r="T120" s="236"/>
      <c r="U120" s="323"/>
      <c r="V120" s="432"/>
      <c r="W120" s="368"/>
      <c r="X120" s="2">
        <v>66</v>
      </c>
    </row>
    <row r="121" spans="1:24" x14ac:dyDescent="0.25">
      <c r="A121" s="398"/>
      <c r="B121" s="326"/>
      <c r="C121" s="326"/>
      <c r="D121" s="326"/>
      <c r="E121" s="326"/>
      <c r="F121" s="350"/>
      <c r="G121" s="347"/>
      <c r="H121" s="323"/>
      <c r="I121" s="353"/>
      <c r="J121" s="427"/>
      <c r="K121" s="428"/>
      <c r="L121" s="326"/>
      <c r="M121" s="326"/>
      <c r="N121" s="239" t="s">
        <v>467</v>
      </c>
      <c r="O121" s="350"/>
      <c r="P121" s="236">
        <v>3366</v>
      </c>
      <c r="Q121" s="237" t="s">
        <v>509</v>
      </c>
      <c r="R121" s="238"/>
      <c r="S121" s="236"/>
      <c r="T121" s="236"/>
      <c r="U121" s="323"/>
      <c r="V121" s="432"/>
      <c r="W121" s="368"/>
      <c r="X121" s="2">
        <v>66</v>
      </c>
    </row>
    <row r="122" spans="1:24" x14ac:dyDescent="0.25">
      <c r="A122" s="356"/>
      <c r="B122" s="327"/>
      <c r="C122" s="327"/>
      <c r="D122" s="327"/>
      <c r="E122" s="327"/>
      <c r="F122" s="351"/>
      <c r="G122" s="348"/>
      <c r="H122" s="324"/>
      <c r="I122" s="354"/>
      <c r="J122" s="421"/>
      <c r="K122" s="423"/>
      <c r="L122" s="327"/>
      <c r="M122" s="327"/>
      <c r="N122" s="235" t="s">
        <v>467</v>
      </c>
      <c r="O122" s="351"/>
      <c r="P122" s="231">
        <v>1880</v>
      </c>
      <c r="Q122" s="232" t="s">
        <v>509</v>
      </c>
      <c r="R122" s="233"/>
      <c r="S122" s="231"/>
      <c r="T122" s="231"/>
      <c r="U122" s="324"/>
      <c r="V122" s="419"/>
      <c r="W122" s="358"/>
      <c r="X122" s="2">
        <v>66</v>
      </c>
    </row>
    <row r="123" spans="1:24" s="85" customFormat="1" ht="93.75" x14ac:dyDescent="0.25">
      <c r="A123" s="126">
        <v>14</v>
      </c>
      <c r="B123" s="122" t="s">
        <v>56</v>
      </c>
      <c r="C123" s="122"/>
      <c r="D123" s="122"/>
      <c r="E123" s="108" t="s">
        <v>251</v>
      </c>
      <c r="F123" s="131" t="s">
        <v>252</v>
      </c>
      <c r="G123" s="109" t="s">
        <v>253</v>
      </c>
      <c r="H123" s="123">
        <v>9000</v>
      </c>
      <c r="I123" s="128">
        <f>IF(X123 = 67, H123 + SUM(S123:S123) - SUM(T123:T123) - SUM(P123:P123) - V123,0)</f>
        <v>0</v>
      </c>
      <c r="J123" s="129">
        <v>2335015365</v>
      </c>
      <c r="K123" s="130" t="s">
        <v>154</v>
      </c>
      <c r="L123" s="122"/>
      <c r="M123" s="122" t="s">
        <v>254</v>
      </c>
      <c r="N123" s="131" t="s">
        <v>310</v>
      </c>
      <c r="O123" s="112" t="s">
        <v>255</v>
      </c>
      <c r="P123" s="123">
        <v>9000</v>
      </c>
      <c r="Q123" s="127" t="s">
        <v>314</v>
      </c>
      <c r="R123" s="122"/>
      <c r="S123" s="123"/>
      <c r="T123" s="123"/>
      <c r="U123" s="123"/>
      <c r="V123" s="124"/>
      <c r="W123" s="125"/>
      <c r="X123" s="85">
        <v>67</v>
      </c>
    </row>
    <row r="124" spans="1:24" s="85" customFormat="1" ht="75" x14ac:dyDescent="0.25">
      <c r="A124" s="126">
        <v>15</v>
      </c>
      <c r="B124" s="122" t="s">
        <v>56</v>
      </c>
      <c r="C124" s="122"/>
      <c r="D124" s="122"/>
      <c r="E124" s="122" t="s">
        <v>295</v>
      </c>
      <c r="F124" s="131" t="s">
        <v>256</v>
      </c>
      <c r="G124" s="109" t="s">
        <v>257</v>
      </c>
      <c r="H124" s="110">
        <v>5849</v>
      </c>
      <c r="I124" s="128">
        <f>IF(X124 = 68, H124 + SUM(S124:S124) - SUM(T124:T124) - SUM(P124:P124) - V124,0)</f>
        <v>0</v>
      </c>
      <c r="J124" s="111">
        <v>235002152355</v>
      </c>
      <c r="K124" s="130" t="s">
        <v>194</v>
      </c>
      <c r="L124" s="122"/>
      <c r="M124" s="108" t="s">
        <v>258</v>
      </c>
      <c r="N124" s="131" t="s">
        <v>305</v>
      </c>
      <c r="O124" s="112" t="s">
        <v>250</v>
      </c>
      <c r="P124" s="123">
        <v>5849</v>
      </c>
      <c r="Q124" s="127" t="s">
        <v>304</v>
      </c>
      <c r="R124" s="122"/>
      <c r="S124" s="123"/>
      <c r="T124" s="123"/>
      <c r="U124" s="123"/>
      <c r="V124" s="124"/>
      <c r="W124" s="125"/>
      <c r="X124" s="85">
        <v>68</v>
      </c>
    </row>
    <row r="125" spans="1:24" s="85" customFormat="1" ht="56.25" x14ac:dyDescent="0.25">
      <c r="A125" s="145">
        <v>16</v>
      </c>
      <c r="B125" s="147" t="s">
        <v>56</v>
      </c>
      <c r="C125" s="147"/>
      <c r="D125" s="147"/>
      <c r="E125" s="147" t="s">
        <v>322</v>
      </c>
      <c r="F125" s="152" t="s">
        <v>323</v>
      </c>
      <c r="G125" s="150" t="s">
        <v>327</v>
      </c>
      <c r="H125" s="146">
        <v>3000</v>
      </c>
      <c r="I125" s="151">
        <f>IF(X125 = 69, H125 + SUM(S125:S125) - SUM(T125:T125) - SUM(P125:P125) - V125,0)</f>
        <v>0</v>
      </c>
      <c r="J125" s="153">
        <v>2311187588</v>
      </c>
      <c r="K125" s="154" t="s">
        <v>324</v>
      </c>
      <c r="L125" s="147"/>
      <c r="M125" s="147" t="s">
        <v>325</v>
      </c>
      <c r="N125" s="152" t="s">
        <v>351</v>
      </c>
      <c r="O125" s="112" t="s">
        <v>326</v>
      </c>
      <c r="P125" s="146">
        <v>3000</v>
      </c>
      <c r="Q125" s="150" t="s">
        <v>350</v>
      </c>
      <c r="R125" s="147"/>
      <c r="S125" s="146"/>
      <c r="T125" s="146"/>
      <c r="U125" s="146"/>
      <c r="V125" s="155"/>
      <c r="W125" s="149"/>
      <c r="X125" s="85">
        <v>69</v>
      </c>
    </row>
    <row r="126" spans="1:24" s="85" customFormat="1" ht="58.15" customHeight="1" x14ac:dyDescent="0.25">
      <c r="A126" s="331">
        <v>17</v>
      </c>
      <c r="B126" s="340" t="s">
        <v>56</v>
      </c>
      <c r="C126" s="340"/>
      <c r="D126" s="340"/>
      <c r="E126" s="340" t="s">
        <v>277</v>
      </c>
      <c r="F126" s="334" t="s">
        <v>362</v>
      </c>
      <c r="G126" s="362" t="s">
        <v>299</v>
      </c>
      <c r="H126" s="337">
        <v>341975.03999999998</v>
      </c>
      <c r="I126" s="365">
        <f>IF(X126 = 70, H126 + SUM(S126:S135) - SUM(T126:T135) - SUM(P126:P135) - V126,0)</f>
        <v>-5.0931703299283981E-11</v>
      </c>
      <c r="J126" s="436">
        <v>2353020735</v>
      </c>
      <c r="K126" s="439" t="s">
        <v>286</v>
      </c>
      <c r="L126" s="340"/>
      <c r="M126" s="340" t="s">
        <v>363</v>
      </c>
      <c r="N126" s="204" t="s">
        <v>376</v>
      </c>
      <c r="O126" s="334" t="s">
        <v>288</v>
      </c>
      <c r="P126" s="197">
        <v>45641.53</v>
      </c>
      <c r="Q126" s="196" t="s">
        <v>384</v>
      </c>
      <c r="R126" s="195"/>
      <c r="S126" s="197"/>
      <c r="T126" s="197"/>
      <c r="U126" s="337" t="s">
        <v>522</v>
      </c>
      <c r="V126" s="442">
        <v>64023.13</v>
      </c>
      <c r="W126" s="359"/>
      <c r="X126" s="85">
        <v>70</v>
      </c>
    </row>
    <row r="127" spans="1:24" x14ac:dyDescent="0.25">
      <c r="A127" s="332"/>
      <c r="B127" s="341"/>
      <c r="C127" s="341"/>
      <c r="D127" s="341"/>
      <c r="E127" s="341"/>
      <c r="F127" s="335"/>
      <c r="G127" s="363"/>
      <c r="H127" s="338"/>
      <c r="I127" s="366"/>
      <c r="J127" s="437"/>
      <c r="K127" s="440"/>
      <c r="L127" s="341"/>
      <c r="M127" s="341"/>
      <c r="N127" s="205" t="s">
        <v>376</v>
      </c>
      <c r="O127" s="335"/>
      <c r="P127" s="198">
        <v>2913.35</v>
      </c>
      <c r="Q127" s="199" t="s">
        <v>384</v>
      </c>
      <c r="R127" s="200"/>
      <c r="S127" s="198"/>
      <c r="T127" s="198"/>
      <c r="U127" s="338"/>
      <c r="V127" s="443"/>
      <c r="W127" s="360"/>
      <c r="X127" s="2">
        <v>70</v>
      </c>
    </row>
    <row r="128" spans="1:24" x14ac:dyDescent="0.25">
      <c r="A128" s="332"/>
      <c r="B128" s="341"/>
      <c r="C128" s="341"/>
      <c r="D128" s="341"/>
      <c r="E128" s="341"/>
      <c r="F128" s="335"/>
      <c r="G128" s="363"/>
      <c r="H128" s="338"/>
      <c r="I128" s="366"/>
      <c r="J128" s="437"/>
      <c r="K128" s="440"/>
      <c r="L128" s="341"/>
      <c r="M128" s="341"/>
      <c r="N128" s="205" t="s">
        <v>381</v>
      </c>
      <c r="O128" s="335"/>
      <c r="P128" s="198">
        <v>5808.11</v>
      </c>
      <c r="Q128" s="199" t="s">
        <v>457</v>
      </c>
      <c r="R128" s="200"/>
      <c r="S128" s="198"/>
      <c r="T128" s="198"/>
      <c r="U128" s="338"/>
      <c r="V128" s="443"/>
      <c r="W128" s="360"/>
      <c r="X128" s="2">
        <v>70</v>
      </c>
    </row>
    <row r="129" spans="1:24" x14ac:dyDescent="0.25">
      <c r="A129" s="332"/>
      <c r="B129" s="341"/>
      <c r="C129" s="341"/>
      <c r="D129" s="341"/>
      <c r="E129" s="341"/>
      <c r="F129" s="335"/>
      <c r="G129" s="363"/>
      <c r="H129" s="338"/>
      <c r="I129" s="366"/>
      <c r="J129" s="437"/>
      <c r="K129" s="440"/>
      <c r="L129" s="341"/>
      <c r="M129" s="341"/>
      <c r="N129" s="205" t="s">
        <v>381</v>
      </c>
      <c r="O129" s="335"/>
      <c r="P129" s="198">
        <v>90991.89</v>
      </c>
      <c r="Q129" s="199" t="s">
        <v>457</v>
      </c>
      <c r="R129" s="200"/>
      <c r="S129" s="198"/>
      <c r="T129" s="198"/>
      <c r="U129" s="338"/>
      <c r="V129" s="443"/>
      <c r="W129" s="360"/>
      <c r="X129" s="2">
        <v>70</v>
      </c>
    </row>
    <row r="130" spans="1:24" x14ac:dyDescent="0.25">
      <c r="A130" s="332"/>
      <c r="B130" s="341"/>
      <c r="C130" s="341"/>
      <c r="D130" s="341"/>
      <c r="E130" s="341"/>
      <c r="F130" s="335"/>
      <c r="G130" s="363"/>
      <c r="H130" s="338"/>
      <c r="I130" s="366"/>
      <c r="J130" s="437"/>
      <c r="K130" s="440"/>
      <c r="L130" s="341"/>
      <c r="M130" s="341"/>
      <c r="N130" s="205" t="s">
        <v>459</v>
      </c>
      <c r="O130" s="335"/>
      <c r="P130" s="198">
        <v>31311.89</v>
      </c>
      <c r="Q130" s="199" t="s">
        <v>463</v>
      </c>
      <c r="R130" s="200"/>
      <c r="S130" s="198"/>
      <c r="T130" s="198"/>
      <c r="U130" s="338"/>
      <c r="V130" s="443"/>
      <c r="W130" s="360"/>
      <c r="X130" s="2">
        <v>70</v>
      </c>
    </row>
    <row r="131" spans="1:24" x14ac:dyDescent="0.25">
      <c r="A131" s="332"/>
      <c r="B131" s="341"/>
      <c r="C131" s="341"/>
      <c r="D131" s="341"/>
      <c r="E131" s="341"/>
      <c r="F131" s="335"/>
      <c r="G131" s="363"/>
      <c r="H131" s="338"/>
      <c r="I131" s="366"/>
      <c r="J131" s="437"/>
      <c r="K131" s="440"/>
      <c r="L131" s="341"/>
      <c r="M131" s="341"/>
      <c r="N131" s="205" t="s">
        <v>459</v>
      </c>
      <c r="O131" s="335"/>
      <c r="P131" s="198">
        <v>1998.67</v>
      </c>
      <c r="Q131" s="199" t="s">
        <v>463</v>
      </c>
      <c r="R131" s="200"/>
      <c r="S131" s="198"/>
      <c r="T131" s="198"/>
      <c r="U131" s="338"/>
      <c r="V131" s="443"/>
      <c r="W131" s="360"/>
      <c r="X131" s="2">
        <v>70</v>
      </c>
    </row>
    <row r="132" spans="1:24" x14ac:dyDescent="0.25">
      <c r="A132" s="332"/>
      <c r="B132" s="341"/>
      <c r="C132" s="341"/>
      <c r="D132" s="341"/>
      <c r="E132" s="341"/>
      <c r="F132" s="335"/>
      <c r="G132" s="363"/>
      <c r="H132" s="338"/>
      <c r="I132" s="366"/>
      <c r="J132" s="437"/>
      <c r="K132" s="440"/>
      <c r="L132" s="341"/>
      <c r="M132" s="341"/>
      <c r="N132" s="205" t="s">
        <v>462</v>
      </c>
      <c r="O132" s="335"/>
      <c r="P132" s="198">
        <v>32256.639999999999</v>
      </c>
      <c r="Q132" s="199" t="s">
        <v>465</v>
      </c>
      <c r="R132" s="200"/>
      <c r="S132" s="198"/>
      <c r="T132" s="198"/>
      <c r="U132" s="338"/>
      <c r="V132" s="443"/>
      <c r="W132" s="360"/>
      <c r="X132" s="2">
        <v>70</v>
      </c>
    </row>
    <row r="133" spans="1:24" x14ac:dyDescent="0.25">
      <c r="A133" s="332"/>
      <c r="B133" s="341"/>
      <c r="C133" s="341"/>
      <c r="D133" s="341"/>
      <c r="E133" s="341"/>
      <c r="F133" s="335"/>
      <c r="G133" s="363"/>
      <c r="H133" s="338"/>
      <c r="I133" s="366"/>
      <c r="J133" s="437"/>
      <c r="K133" s="440"/>
      <c r="L133" s="341"/>
      <c r="M133" s="341"/>
      <c r="N133" s="205" t="s">
        <v>462</v>
      </c>
      <c r="O133" s="335"/>
      <c r="P133" s="198">
        <v>2058.98</v>
      </c>
      <c r="Q133" s="199" t="s">
        <v>465</v>
      </c>
      <c r="R133" s="200"/>
      <c r="S133" s="198"/>
      <c r="T133" s="198"/>
      <c r="U133" s="338"/>
      <c r="V133" s="443"/>
      <c r="W133" s="360"/>
      <c r="X133" s="2">
        <v>70</v>
      </c>
    </row>
    <row r="134" spans="1:24" x14ac:dyDescent="0.25">
      <c r="A134" s="332"/>
      <c r="B134" s="341"/>
      <c r="C134" s="341"/>
      <c r="D134" s="341"/>
      <c r="E134" s="341"/>
      <c r="F134" s="335"/>
      <c r="G134" s="363"/>
      <c r="H134" s="338"/>
      <c r="I134" s="366"/>
      <c r="J134" s="437"/>
      <c r="K134" s="440"/>
      <c r="L134" s="341"/>
      <c r="M134" s="341"/>
      <c r="N134" s="205" t="s">
        <v>467</v>
      </c>
      <c r="O134" s="335"/>
      <c r="P134" s="198">
        <v>61072.52</v>
      </c>
      <c r="Q134" s="199" t="s">
        <v>470</v>
      </c>
      <c r="R134" s="200"/>
      <c r="S134" s="198"/>
      <c r="T134" s="198"/>
      <c r="U134" s="338"/>
      <c r="V134" s="443"/>
      <c r="W134" s="360"/>
      <c r="X134" s="2">
        <v>70</v>
      </c>
    </row>
    <row r="135" spans="1:24" x14ac:dyDescent="0.25">
      <c r="A135" s="333"/>
      <c r="B135" s="342"/>
      <c r="C135" s="342"/>
      <c r="D135" s="342"/>
      <c r="E135" s="342"/>
      <c r="F135" s="336"/>
      <c r="G135" s="364"/>
      <c r="H135" s="339"/>
      <c r="I135" s="367"/>
      <c r="J135" s="438"/>
      <c r="K135" s="441"/>
      <c r="L135" s="342"/>
      <c r="M135" s="342"/>
      <c r="N135" s="206" t="s">
        <v>467</v>
      </c>
      <c r="O135" s="336"/>
      <c r="P135" s="201">
        <v>3898.33</v>
      </c>
      <c r="Q135" s="202" t="s">
        <v>470</v>
      </c>
      <c r="R135" s="203"/>
      <c r="S135" s="201"/>
      <c r="T135" s="201"/>
      <c r="U135" s="339"/>
      <c r="V135" s="444"/>
      <c r="W135" s="361"/>
      <c r="X135" s="2">
        <v>70</v>
      </c>
    </row>
    <row r="136" spans="1:24" s="85" customFormat="1" ht="60.6" customHeight="1" x14ac:dyDescent="0.25">
      <c r="A136" s="331">
        <v>18</v>
      </c>
      <c r="B136" s="340" t="s">
        <v>56</v>
      </c>
      <c r="C136" s="340"/>
      <c r="D136" s="340"/>
      <c r="E136" s="340" t="s">
        <v>297</v>
      </c>
      <c r="F136" s="334" t="s">
        <v>362</v>
      </c>
      <c r="G136" s="362" t="s">
        <v>301</v>
      </c>
      <c r="H136" s="337">
        <v>110400</v>
      </c>
      <c r="I136" s="365">
        <f>IF(X136 = 71, H136 + SUM(S136:S140) - SUM(T136:T140) - SUM(P136:P140) - V136,0)</f>
        <v>0</v>
      </c>
      <c r="J136" s="436">
        <v>2353020735</v>
      </c>
      <c r="K136" s="439" t="s">
        <v>286</v>
      </c>
      <c r="L136" s="340"/>
      <c r="M136" s="340" t="s">
        <v>363</v>
      </c>
      <c r="N136" s="204" t="s">
        <v>376</v>
      </c>
      <c r="O136" s="334" t="s">
        <v>288</v>
      </c>
      <c r="P136" s="197">
        <v>15675</v>
      </c>
      <c r="Q136" s="196" t="s">
        <v>384</v>
      </c>
      <c r="R136" s="195"/>
      <c r="S136" s="197"/>
      <c r="T136" s="197"/>
      <c r="U136" s="337" t="s">
        <v>522</v>
      </c>
      <c r="V136" s="442">
        <v>17350</v>
      </c>
      <c r="W136" s="359"/>
      <c r="X136" s="85">
        <v>71</v>
      </c>
    </row>
    <row r="137" spans="1:24" x14ac:dyDescent="0.25">
      <c r="A137" s="332"/>
      <c r="B137" s="341"/>
      <c r="C137" s="341"/>
      <c r="D137" s="341"/>
      <c r="E137" s="341"/>
      <c r="F137" s="335"/>
      <c r="G137" s="363"/>
      <c r="H137" s="338"/>
      <c r="I137" s="366"/>
      <c r="J137" s="437"/>
      <c r="K137" s="440"/>
      <c r="L137" s="341"/>
      <c r="M137" s="341"/>
      <c r="N137" s="205" t="s">
        <v>381</v>
      </c>
      <c r="O137" s="335"/>
      <c r="P137" s="198">
        <v>31250</v>
      </c>
      <c r="Q137" s="199" t="s">
        <v>457</v>
      </c>
      <c r="R137" s="200"/>
      <c r="S137" s="198"/>
      <c r="T137" s="198"/>
      <c r="U137" s="338"/>
      <c r="V137" s="443"/>
      <c r="W137" s="360"/>
      <c r="X137" s="2">
        <v>71</v>
      </c>
    </row>
    <row r="138" spans="1:24" x14ac:dyDescent="0.25">
      <c r="A138" s="332"/>
      <c r="B138" s="341"/>
      <c r="C138" s="341"/>
      <c r="D138" s="341"/>
      <c r="E138" s="341"/>
      <c r="F138" s="335"/>
      <c r="G138" s="363"/>
      <c r="H138" s="338"/>
      <c r="I138" s="366"/>
      <c r="J138" s="437"/>
      <c r="K138" s="440"/>
      <c r="L138" s="341"/>
      <c r="M138" s="341"/>
      <c r="N138" s="205" t="s">
        <v>459</v>
      </c>
      <c r="O138" s="335"/>
      <c r="P138" s="198">
        <v>11600</v>
      </c>
      <c r="Q138" s="199" t="s">
        <v>464</v>
      </c>
      <c r="R138" s="200"/>
      <c r="S138" s="198"/>
      <c r="T138" s="198"/>
      <c r="U138" s="338"/>
      <c r="V138" s="443"/>
      <c r="W138" s="360"/>
      <c r="X138" s="2">
        <v>71</v>
      </c>
    </row>
    <row r="139" spans="1:24" x14ac:dyDescent="0.25">
      <c r="A139" s="332"/>
      <c r="B139" s="341"/>
      <c r="C139" s="341"/>
      <c r="D139" s="341"/>
      <c r="E139" s="341"/>
      <c r="F139" s="335"/>
      <c r="G139" s="363"/>
      <c r="H139" s="338"/>
      <c r="I139" s="366"/>
      <c r="J139" s="437"/>
      <c r="K139" s="440"/>
      <c r="L139" s="341"/>
      <c r="M139" s="341"/>
      <c r="N139" s="205" t="s">
        <v>462</v>
      </c>
      <c r="O139" s="335"/>
      <c r="P139" s="198">
        <v>11950</v>
      </c>
      <c r="Q139" s="199" t="s">
        <v>465</v>
      </c>
      <c r="R139" s="200"/>
      <c r="S139" s="198"/>
      <c r="T139" s="198"/>
      <c r="U139" s="338"/>
      <c r="V139" s="443"/>
      <c r="W139" s="360"/>
      <c r="X139" s="2">
        <v>71</v>
      </c>
    </row>
    <row r="140" spans="1:24" x14ac:dyDescent="0.25">
      <c r="A140" s="333"/>
      <c r="B140" s="342"/>
      <c r="C140" s="342"/>
      <c r="D140" s="342"/>
      <c r="E140" s="342"/>
      <c r="F140" s="336"/>
      <c r="G140" s="364"/>
      <c r="H140" s="339"/>
      <c r="I140" s="367"/>
      <c r="J140" s="438"/>
      <c r="K140" s="441"/>
      <c r="L140" s="342"/>
      <c r="M140" s="342"/>
      <c r="N140" s="206" t="s">
        <v>467</v>
      </c>
      <c r="O140" s="336"/>
      <c r="P140" s="201">
        <v>22575</v>
      </c>
      <c r="Q140" s="202" t="s">
        <v>470</v>
      </c>
      <c r="R140" s="203"/>
      <c r="S140" s="201"/>
      <c r="T140" s="201"/>
      <c r="U140" s="339"/>
      <c r="V140" s="444"/>
      <c r="W140" s="361"/>
      <c r="X140" s="2">
        <v>71</v>
      </c>
    </row>
    <row r="141" spans="1:24" s="85" customFormat="1" ht="75" x14ac:dyDescent="0.25">
      <c r="A141" s="185">
        <v>19</v>
      </c>
      <c r="B141" s="186" t="s">
        <v>56</v>
      </c>
      <c r="C141" s="186"/>
      <c r="D141" s="186"/>
      <c r="E141" s="186" t="s">
        <v>399</v>
      </c>
      <c r="F141" s="191" t="s">
        <v>400</v>
      </c>
      <c r="G141" s="187" t="s">
        <v>401</v>
      </c>
      <c r="H141" s="188">
        <v>15000</v>
      </c>
      <c r="I141" s="189">
        <f>IF(X141 = 72, H141 + SUM(S141:S141) - SUM(T141:T141) - SUM(P141:P141) - V141,0)</f>
        <v>0</v>
      </c>
      <c r="J141" s="192">
        <v>235002152355</v>
      </c>
      <c r="K141" s="130" t="s">
        <v>194</v>
      </c>
      <c r="L141" s="186"/>
      <c r="M141" s="108" t="s">
        <v>402</v>
      </c>
      <c r="N141" s="191" t="s">
        <v>463</v>
      </c>
      <c r="O141" s="112" t="s">
        <v>250</v>
      </c>
      <c r="P141" s="188">
        <v>15000</v>
      </c>
      <c r="Q141" s="187" t="s">
        <v>464</v>
      </c>
      <c r="R141" s="186"/>
      <c r="S141" s="188"/>
      <c r="T141" s="188"/>
      <c r="U141" s="188"/>
      <c r="V141" s="193"/>
      <c r="W141" s="184"/>
      <c r="X141" s="85">
        <v>72</v>
      </c>
    </row>
    <row r="142" spans="1:24" s="85" customFormat="1" ht="112.5" x14ac:dyDescent="0.25">
      <c r="A142" s="185">
        <v>20</v>
      </c>
      <c r="B142" s="186" t="s">
        <v>56</v>
      </c>
      <c r="C142" s="186"/>
      <c r="D142" s="186"/>
      <c r="E142" s="186" t="s">
        <v>403</v>
      </c>
      <c r="F142" s="191" t="s">
        <v>404</v>
      </c>
      <c r="G142" s="187" t="s">
        <v>405</v>
      </c>
      <c r="H142" s="188">
        <v>30730</v>
      </c>
      <c r="I142" s="189">
        <f>IF(X142 = 73, H142 + SUM(S142:S142) - SUM(T142:T142) - SUM(P142:P142) - V142,0)</f>
        <v>0</v>
      </c>
      <c r="J142" s="192">
        <v>2636040789</v>
      </c>
      <c r="K142" s="194" t="s">
        <v>406</v>
      </c>
      <c r="L142" s="186"/>
      <c r="M142" s="186" t="s">
        <v>407</v>
      </c>
      <c r="N142" s="191" t="s">
        <v>467</v>
      </c>
      <c r="O142" s="112" t="s">
        <v>408</v>
      </c>
      <c r="P142" s="188">
        <v>30730</v>
      </c>
      <c r="Q142" s="187" t="s">
        <v>466</v>
      </c>
      <c r="R142" s="186"/>
      <c r="S142" s="188"/>
      <c r="T142" s="188"/>
      <c r="U142" s="188"/>
      <c r="V142" s="193"/>
      <c r="W142" s="184"/>
      <c r="X142" s="85">
        <v>73</v>
      </c>
    </row>
    <row r="143" spans="1:24" s="85" customFormat="1" ht="93.75" x14ac:dyDescent="0.25">
      <c r="A143" s="185">
        <v>21</v>
      </c>
      <c r="B143" s="186" t="s">
        <v>56</v>
      </c>
      <c r="C143" s="186"/>
      <c r="D143" s="186"/>
      <c r="E143" s="186" t="s">
        <v>423</v>
      </c>
      <c r="F143" s="191" t="s">
        <v>424</v>
      </c>
      <c r="G143" s="187" t="s">
        <v>425</v>
      </c>
      <c r="H143" s="188">
        <v>237856.35</v>
      </c>
      <c r="I143" s="189">
        <f>IF(X143 = 74, H143 + SUM(S143:S143) - SUM(T143:T143) - SUM(P143:P143) - V143,0)</f>
        <v>0</v>
      </c>
      <c r="J143" s="192">
        <v>7116151604</v>
      </c>
      <c r="K143" s="194" t="s">
        <v>426</v>
      </c>
      <c r="L143" s="186"/>
      <c r="M143" s="186" t="s">
        <v>427</v>
      </c>
      <c r="N143" s="191" t="s">
        <v>559</v>
      </c>
      <c r="O143" s="112" t="s">
        <v>428</v>
      </c>
      <c r="P143" s="188">
        <v>237856.35</v>
      </c>
      <c r="Q143" s="187" t="s">
        <v>560</v>
      </c>
      <c r="R143" s="186"/>
      <c r="S143" s="188"/>
      <c r="T143" s="188"/>
      <c r="U143" s="188"/>
      <c r="V143" s="193"/>
      <c r="W143" s="184"/>
      <c r="X143" s="85">
        <v>74</v>
      </c>
    </row>
    <row r="144" spans="1:24" s="85" customFormat="1" ht="75" x14ac:dyDescent="0.25">
      <c r="A144" s="185">
        <v>22</v>
      </c>
      <c r="B144" s="186" t="s">
        <v>56</v>
      </c>
      <c r="C144" s="186"/>
      <c r="D144" s="186"/>
      <c r="E144" s="186" t="s">
        <v>435</v>
      </c>
      <c r="F144" s="191" t="s">
        <v>436</v>
      </c>
      <c r="G144" s="187" t="s">
        <v>437</v>
      </c>
      <c r="H144" s="188">
        <v>15400</v>
      </c>
      <c r="I144" s="189">
        <f>IF(X144 = 75, H144 + SUM(S144:S144) - SUM(T144:T144) - SUM(P144:P144) - V144,0)</f>
        <v>0</v>
      </c>
      <c r="J144" s="192">
        <v>235002152355</v>
      </c>
      <c r="K144" s="194" t="s">
        <v>194</v>
      </c>
      <c r="L144" s="186"/>
      <c r="M144" s="186" t="s">
        <v>438</v>
      </c>
      <c r="N144" s="191" t="s">
        <v>467</v>
      </c>
      <c r="O144" s="112" t="s">
        <v>250</v>
      </c>
      <c r="P144" s="188">
        <v>15400</v>
      </c>
      <c r="Q144" s="187" t="s">
        <v>469</v>
      </c>
      <c r="R144" s="186"/>
      <c r="S144" s="188"/>
      <c r="T144" s="188"/>
      <c r="U144" s="188"/>
      <c r="V144" s="193"/>
      <c r="W144" s="184"/>
      <c r="X144" s="85">
        <v>75</v>
      </c>
    </row>
    <row r="145" spans="1:24" s="85" customFormat="1" ht="54.6" customHeight="1" x14ac:dyDescent="0.25">
      <c r="A145" s="185">
        <v>23</v>
      </c>
      <c r="B145" s="186" t="s">
        <v>56</v>
      </c>
      <c r="C145" s="186"/>
      <c r="D145" s="186"/>
      <c r="E145" s="186" t="s">
        <v>439</v>
      </c>
      <c r="F145" s="191" t="s">
        <v>440</v>
      </c>
      <c r="G145" s="187" t="s">
        <v>227</v>
      </c>
      <c r="H145" s="188">
        <v>7000</v>
      </c>
      <c r="I145" s="189">
        <f>IF(X145 = 76, H145 + SUM(S145:S145) - SUM(T145:T145) - SUM(P145:P145) - V145,0)</f>
        <v>0</v>
      </c>
      <c r="J145" s="192">
        <v>2353018870</v>
      </c>
      <c r="K145" s="194" t="s">
        <v>160</v>
      </c>
      <c r="L145" s="186"/>
      <c r="M145" s="186" t="s">
        <v>441</v>
      </c>
      <c r="N145" s="191" t="s">
        <v>506</v>
      </c>
      <c r="O145" s="191" t="s">
        <v>234</v>
      </c>
      <c r="P145" s="188">
        <v>7000</v>
      </c>
      <c r="Q145" s="187" t="s">
        <v>505</v>
      </c>
      <c r="R145" s="186"/>
      <c r="S145" s="188"/>
      <c r="T145" s="188"/>
      <c r="U145" s="188"/>
      <c r="V145" s="193"/>
      <c r="W145" s="184"/>
      <c r="X145" s="85">
        <v>76</v>
      </c>
    </row>
    <row r="146" spans="1:24" s="85" customFormat="1" ht="74.45" customHeight="1" x14ac:dyDescent="0.25">
      <c r="A146" s="185">
        <v>24</v>
      </c>
      <c r="B146" s="186" t="s">
        <v>56</v>
      </c>
      <c r="C146" s="186"/>
      <c r="D146" s="186"/>
      <c r="E146" s="186" t="s">
        <v>442</v>
      </c>
      <c r="F146" s="191" t="s">
        <v>416</v>
      </c>
      <c r="G146" s="187" t="s">
        <v>443</v>
      </c>
      <c r="H146" s="188">
        <v>75337.5</v>
      </c>
      <c r="I146" s="189">
        <f>IF(X146 = 77, H146 + SUM(S146:S146) - SUM(T146:T146) - SUM(P146:P146) - V146,0)</f>
        <v>0</v>
      </c>
      <c r="J146" s="192">
        <v>2353020735</v>
      </c>
      <c r="K146" s="194" t="s">
        <v>286</v>
      </c>
      <c r="L146" s="186"/>
      <c r="M146" s="186" t="s">
        <v>444</v>
      </c>
      <c r="N146" s="191" t="s">
        <v>513</v>
      </c>
      <c r="O146" s="163" t="s">
        <v>288</v>
      </c>
      <c r="P146" s="188">
        <v>64575</v>
      </c>
      <c r="Q146" s="187" t="s">
        <v>514</v>
      </c>
      <c r="R146" s="186"/>
      <c r="S146" s="188"/>
      <c r="T146" s="188"/>
      <c r="U146" s="188" t="s">
        <v>523</v>
      </c>
      <c r="V146" s="193">
        <v>10762.5</v>
      </c>
      <c r="W146" s="184"/>
      <c r="X146" s="85">
        <v>77</v>
      </c>
    </row>
    <row r="147" spans="1:24" s="85" customFormat="1" ht="67.150000000000006" customHeight="1" x14ac:dyDescent="0.25">
      <c r="A147" s="355">
        <v>25</v>
      </c>
      <c r="B147" s="325" t="s">
        <v>56</v>
      </c>
      <c r="C147" s="325"/>
      <c r="D147" s="325"/>
      <c r="E147" s="325" t="s">
        <v>445</v>
      </c>
      <c r="F147" s="349" t="s">
        <v>446</v>
      </c>
      <c r="G147" s="346" t="s">
        <v>447</v>
      </c>
      <c r="H147" s="322">
        <v>26910</v>
      </c>
      <c r="I147" s="352">
        <f>IF(X147 = 78, H147 + SUM(S147:S148) - SUM(T147:T148) - SUM(P147:P148) - V147,0)</f>
        <v>0</v>
      </c>
      <c r="J147" s="420">
        <v>2353020735</v>
      </c>
      <c r="K147" s="422" t="s">
        <v>286</v>
      </c>
      <c r="L147" s="325"/>
      <c r="M147" s="325" t="s">
        <v>444</v>
      </c>
      <c r="N147" s="234" t="s">
        <v>513</v>
      </c>
      <c r="O147" s="349" t="s">
        <v>288</v>
      </c>
      <c r="P147" s="230">
        <v>16146</v>
      </c>
      <c r="Q147" s="229" t="s">
        <v>514</v>
      </c>
      <c r="R147" s="228"/>
      <c r="S147" s="230"/>
      <c r="T147" s="230"/>
      <c r="U147" s="322"/>
      <c r="V147" s="418"/>
      <c r="W147" s="357"/>
      <c r="X147" s="85">
        <v>78</v>
      </c>
    </row>
    <row r="148" spans="1:24" x14ac:dyDescent="0.25">
      <c r="A148" s="356"/>
      <c r="B148" s="327"/>
      <c r="C148" s="327"/>
      <c r="D148" s="327"/>
      <c r="E148" s="327"/>
      <c r="F148" s="351"/>
      <c r="G148" s="348"/>
      <c r="H148" s="324"/>
      <c r="I148" s="354"/>
      <c r="J148" s="421"/>
      <c r="K148" s="423"/>
      <c r="L148" s="327"/>
      <c r="M148" s="327"/>
      <c r="N148" s="235" t="s">
        <v>513</v>
      </c>
      <c r="O148" s="351"/>
      <c r="P148" s="231">
        <v>10764</v>
      </c>
      <c r="Q148" s="232" t="s">
        <v>514</v>
      </c>
      <c r="R148" s="233"/>
      <c r="S148" s="231"/>
      <c r="T148" s="231"/>
      <c r="U148" s="324"/>
      <c r="V148" s="419"/>
      <c r="W148" s="358"/>
      <c r="X148" s="2">
        <v>78</v>
      </c>
    </row>
    <row r="149" spans="1:24" s="85" customFormat="1" ht="56.25" x14ac:dyDescent="0.25">
      <c r="A149" s="217">
        <v>26</v>
      </c>
      <c r="B149" s="218" t="s">
        <v>56</v>
      </c>
      <c r="C149" s="218"/>
      <c r="D149" s="218"/>
      <c r="E149" s="218" t="s">
        <v>489</v>
      </c>
      <c r="F149" s="223" t="s">
        <v>490</v>
      </c>
      <c r="G149" s="219" t="s">
        <v>491</v>
      </c>
      <c r="H149" s="220">
        <v>995</v>
      </c>
      <c r="I149" s="221">
        <f>IF(X149 = 79, H149 + SUM(S149:S149) - SUM(T149:T149) - SUM(P149:P149) - V149,0)</f>
        <v>0</v>
      </c>
      <c r="J149" s="225">
        <v>2310132554</v>
      </c>
      <c r="K149" s="226" t="s">
        <v>492</v>
      </c>
      <c r="L149" s="218"/>
      <c r="M149" s="218" t="s">
        <v>493</v>
      </c>
      <c r="N149" s="223" t="s">
        <v>571</v>
      </c>
      <c r="O149" s="163" t="s">
        <v>494</v>
      </c>
      <c r="P149" s="220">
        <v>995</v>
      </c>
      <c r="Q149" s="219" t="s">
        <v>572</v>
      </c>
      <c r="R149" s="218"/>
      <c r="S149" s="220"/>
      <c r="T149" s="220"/>
      <c r="U149" s="220"/>
      <c r="V149" s="227"/>
      <c r="W149" s="213"/>
      <c r="X149" s="85">
        <v>79</v>
      </c>
    </row>
    <row r="150" spans="1:24" s="85" customFormat="1" ht="90" customHeight="1" x14ac:dyDescent="0.25">
      <c r="A150" s="217">
        <v>27</v>
      </c>
      <c r="B150" s="218" t="s">
        <v>56</v>
      </c>
      <c r="C150" s="218"/>
      <c r="D150" s="218"/>
      <c r="E150" s="218" t="s">
        <v>502</v>
      </c>
      <c r="F150" s="223" t="s">
        <v>503</v>
      </c>
      <c r="G150" s="219" t="s">
        <v>184</v>
      </c>
      <c r="H150" s="220">
        <v>598920</v>
      </c>
      <c r="I150" s="221">
        <f>IF(X150 = 80, H150 + SUM(S150:S150) - SUM(T150:T150) - SUM(P150:P150) - V150,0)</f>
        <v>505942.5</v>
      </c>
      <c r="J150" s="225">
        <v>235300578903</v>
      </c>
      <c r="K150" s="226" t="s">
        <v>148</v>
      </c>
      <c r="L150" s="218"/>
      <c r="M150" s="218" t="s">
        <v>504</v>
      </c>
      <c r="N150" s="223" t="s">
        <v>562</v>
      </c>
      <c r="O150" s="223" t="s">
        <v>296</v>
      </c>
      <c r="P150" s="220">
        <v>92977.5</v>
      </c>
      <c r="Q150" s="219" t="s">
        <v>561</v>
      </c>
      <c r="R150" s="218"/>
      <c r="S150" s="220"/>
      <c r="T150" s="220"/>
      <c r="U150" s="220"/>
      <c r="V150" s="227"/>
      <c r="W150" s="213"/>
      <c r="X150" s="85">
        <v>80</v>
      </c>
    </row>
    <row r="151" spans="1:24" s="85" customFormat="1" ht="112.5" x14ac:dyDescent="0.25">
      <c r="A151" s="241">
        <v>28</v>
      </c>
      <c r="B151" s="242" t="s">
        <v>56</v>
      </c>
      <c r="C151" s="242"/>
      <c r="D151" s="242"/>
      <c r="E151" s="242" t="s">
        <v>525</v>
      </c>
      <c r="F151" s="249" t="s">
        <v>526</v>
      </c>
      <c r="G151" s="243" t="s">
        <v>405</v>
      </c>
      <c r="H151" s="244">
        <v>30600</v>
      </c>
      <c r="I151" s="245">
        <f>IF(X151 = 81, H151 + SUM(S151:S151) - SUM(T151:T151) - SUM(P151:P151) - V151,0)</f>
        <v>0</v>
      </c>
      <c r="J151" s="246">
        <v>2636040789</v>
      </c>
      <c r="K151" s="247" t="s">
        <v>406</v>
      </c>
      <c r="L151" s="242"/>
      <c r="M151" s="242" t="s">
        <v>527</v>
      </c>
      <c r="N151" s="249" t="s">
        <v>567</v>
      </c>
      <c r="O151" s="112" t="s">
        <v>408</v>
      </c>
      <c r="P151" s="244">
        <v>30600</v>
      </c>
      <c r="Q151" s="243" t="s">
        <v>568</v>
      </c>
      <c r="R151" s="242"/>
      <c r="S151" s="244"/>
      <c r="T151" s="244"/>
      <c r="U151" s="244"/>
      <c r="V151" s="248"/>
      <c r="W151" s="240"/>
      <c r="X151" s="85">
        <v>81</v>
      </c>
    </row>
    <row r="152" spans="1:24" s="85" customFormat="1" ht="75" x14ac:dyDescent="0.25">
      <c r="A152" s="241">
        <v>29</v>
      </c>
      <c r="B152" s="242" t="s">
        <v>56</v>
      </c>
      <c r="C152" s="242"/>
      <c r="D152" s="242"/>
      <c r="E152" s="242" t="s">
        <v>528</v>
      </c>
      <c r="F152" s="249" t="s">
        <v>529</v>
      </c>
      <c r="G152" s="243" t="s">
        <v>530</v>
      </c>
      <c r="H152" s="244">
        <v>80000</v>
      </c>
      <c r="I152" s="245">
        <f>IF(X152 = 82, H152 + SUM(S152:S152) - SUM(T152:T152) - SUM(P152:P152) - V152,0)</f>
        <v>0</v>
      </c>
      <c r="J152" s="246">
        <v>235002152355</v>
      </c>
      <c r="K152" s="247" t="s">
        <v>194</v>
      </c>
      <c r="L152" s="242"/>
      <c r="M152" s="242" t="s">
        <v>531</v>
      </c>
      <c r="N152" s="249" t="s">
        <v>560</v>
      </c>
      <c r="O152" s="112" t="s">
        <v>250</v>
      </c>
      <c r="P152" s="244">
        <v>80000</v>
      </c>
      <c r="Q152" s="243" t="s">
        <v>570</v>
      </c>
      <c r="R152" s="242"/>
      <c r="S152" s="244"/>
      <c r="T152" s="244"/>
      <c r="U152" s="244"/>
      <c r="V152" s="248"/>
      <c r="W152" s="240"/>
      <c r="X152" s="85">
        <v>82</v>
      </c>
    </row>
    <row r="153" spans="1:24" s="85" customFormat="1" ht="75" x14ac:dyDescent="0.25">
      <c r="A153" s="241">
        <v>30</v>
      </c>
      <c r="B153" s="242" t="s">
        <v>56</v>
      </c>
      <c r="C153" s="242"/>
      <c r="D153" s="242"/>
      <c r="E153" s="242" t="s">
        <v>555</v>
      </c>
      <c r="F153" s="249" t="s">
        <v>534</v>
      </c>
      <c r="G153" s="243" t="s">
        <v>530</v>
      </c>
      <c r="H153" s="244">
        <v>26770</v>
      </c>
      <c r="I153" s="245">
        <f>IF(X153 = 83, H153 + SUM(S153:S153) - SUM(T153:T153) - SUM(P153:P153) - V153,0)</f>
        <v>0</v>
      </c>
      <c r="J153" s="246">
        <v>235002152355</v>
      </c>
      <c r="K153" s="247" t="s">
        <v>194</v>
      </c>
      <c r="L153" s="242"/>
      <c r="M153" s="242" t="s">
        <v>556</v>
      </c>
      <c r="N153" s="249" t="s">
        <v>566</v>
      </c>
      <c r="O153" s="112" t="s">
        <v>250</v>
      </c>
      <c r="P153" s="244">
        <v>26770</v>
      </c>
      <c r="Q153" s="243" t="s">
        <v>575</v>
      </c>
      <c r="R153" s="242"/>
      <c r="S153" s="244"/>
      <c r="T153" s="244"/>
      <c r="U153" s="244"/>
      <c r="V153" s="248"/>
      <c r="W153" s="240"/>
      <c r="X153" s="85">
        <v>83</v>
      </c>
    </row>
    <row r="154" spans="1:24" s="85" customFormat="1" ht="75" x14ac:dyDescent="0.25">
      <c r="A154" s="241">
        <v>31</v>
      </c>
      <c r="B154" s="242" t="s">
        <v>56</v>
      </c>
      <c r="C154" s="242"/>
      <c r="D154" s="242"/>
      <c r="E154" s="242" t="s">
        <v>557</v>
      </c>
      <c r="F154" s="249" t="s">
        <v>534</v>
      </c>
      <c r="G154" s="243" t="s">
        <v>558</v>
      </c>
      <c r="H154" s="244">
        <v>62143.65</v>
      </c>
      <c r="I154" s="245">
        <f>IF(X154 = 84, H154 + SUM(S154:S154) - SUM(T154:T154) - SUM(P154:P154) - V154,0)</f>
        <v>62143.65</v>
      </c>
      <c r="J154" s="246">
        <v>235002152355</v>
      </c>
      <c r="K154" s="247" t="s">
        <v>194</v>
      </c>
      <c r="L154" s="242"/>
      <c r="M154" s="242" t="s">
        <v>556</v>
      </c>
      <c r="N154" s="249"/>
      <c r="O154" s="112" t="s">
        <v>250</v>
      </c>
      <c r="P154" s="244"/>
      <c r="Q154" s="243"/>
      <c r="R154" s="242"/>
      <c r="S154" s="244"/>
      <c r="T154" s="244"/>
      <c r="U154" s="244"/>
      <c r="V154" s="248"/>
      <c r="W154" s="240"/>
      <c r="X154" s="85">
        <v>84</v>
      </c>
    </row>
    <row r="155" spans="1:24" ht="18" x14ac:dyDescent="0.3">
      <c r="X155" s="2">
        <v>85</v>
      </c>
    </row>
  </sheetData>
  <sheetProtection algorithmName="SHA-512" hashValue="TPxiX9tyTWDY9qIP634T22vo3kFwmAozgSRksIi2X1m6y6873XiqLjg98I1Gg56EZQkfhick77cu13rhk1bXwg==" saltValue="BMgijEH4WAE4SbIZeOy+rw==" spinCount="100000" sheet="1" objects="1" scenarios="1" formatCells="0" formatColumns="0" formatRows="0"/>
  <mergeCells count="275">
    <mergeCell ref="A43:A63"/>
    <mergeCell ref="O43:O63"/>
    <mergeCell ref="O64:O69"/>
    <mergeCell ref="A70:A71"/>
    <mergeCell ref="O70:O71"/>
    <mergeCell ref="U70:U71"/>
    <mergeCell ref="B70:B71"/>
    <mergeCell ref="V70:V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A37:A42"/>
    <mergeCell ref="O37:O42"/>
    <mergeCell ref="B37:B42"/>
    <mergeCell ref="C37:C42"/>
    <mergeCell ref="D37:D42"/>
    <mergeCell ref="E37:E42"/>
    <mergeCell ref="F37:F42"/>
    <mergeCell ref="G37:G42"/>
    <mergeCell ref="H37:H42"/>
    <mergeCell ref="I37:I42"/>
    <mergeCell ref="J37:J42"/>
    <mergeCell ref="K37:K42"/>
    <mergeCell ref="L37:L42"/>
    <mergeCell ref="M37:M42"/>
    <mergeCell ref="U43:U63"/>
    <mergeCell ref="B43:B63"/>
    <mergeCell ref="V43:V63"/>
    <mergeCell ref="C43:C63"/>
    <mergeCell ref="W43:W63"/>
    <mergeCell ref="D43:D63"/>
    <mergeCell ref="E43:E63"/>
    <mergeCell ref="F43:F63"/>
    <mergeCell ref="G43:G63"/>
    <mergeCell ref="H43:H63"/>
    <mergeCell ref="I43:I63"/>
    <mergeCell ref="J43:J63"/>
    <mergeCell ref="K43:K63"/>
    <mergeCell ref="L43:L63"/>
    <mergeCell ref="M43:M63"/>
    <mergeCell ref="U37:U42"/>
    <mergeCell ref="V37:V42"/>
    <mergeCell ref="W37:W42"/>
    <mergeCell ref="A31:A36"/>
    <mergeCell ref="O31:O36"/>
    <mergeCell ref="U31:U36"/>
    <mergeCell ref="A72:A83"/>
    <mergeCell ref="O72:O83"/>
    <mergeCell ref="U72:U83"/>
    <mergeCell ref="B72:B83"/>
    <mergeCell ref="V72:V83"/>
    <mergeCell ref="C72:C83"/>
    <mergeCell ref="W72:W83"/>
    <mergeCell ref="B31:B36"/>
    <mergeCell ref="V31:V36"/>
    <mergeCell ref="C31:C36"/>
    <mergeCell ref="D31:D36"/>
    <mergeCell ref="E31:E36"/>
    <mergeCell ref="W31:W36"/>
    <mergeCell ref="F31:F36"/>
    <mergeCell ref="G31:G36"/>
    <mergeCell ref="H31:H36"/>
    <mergeCell ref="I31:I36"/>
    <mergeCell ref="J31:J36"/>
    <mergeCell ref="A89:A104"/>
    <mergeCell ref="O89:O104"/>
    <mergeCell ref="U89:U104"/>
    <mergeCell ref="B89:B104"/>
    <mergeCell ref="V89:V104"/>
    <mergeCell ref="C89:C104"/>
    <mergeCell ref="A105:A112"/>
    <mergeCell ref="B105:B112"/>
    <mergeCell ref="V105:V112"/>
    <mergeCell ref="C105:C112"/>
    <mergeCell ref="D105:D112"/>
    <mergeCell ref="E105:E112"/>
    <mergeCell ref="F105:F112"/>
    <mergeCell ref="G105:G112"/>
    <mergeCell ref="H105:H112"/>
    <mergeCell ref="I105:I112"/>
    <mergeCell ref="J105:J112"/>
    <mergeCell ref="K105:K112"/>
    <mergeCell ref="L105:L112"/>
    <mergeCell ref="M105:M112"/>
    <mergeCell ref="O105:O112"/>
    <mergeCell ref="W89:W104"/>
    <mergeCell ref="D89:D104"/>
    <mergeCell ref="E89:E104"/>
    <mergeCell ref="F89:F104"/>
    <mergeCell ref="G89:G104"/>
    <mergeCell ref="H89:H104"/>
    <mergeCell ref="I89:I104"/>
    <mergeCell ref="U105:U112"/>
    <mergeCell ref="J89:J104"/>
    <mergeCell ref="K89:K104"/>
    <mergeCell ref="L89:L104"/>
    <mergeCell ref="M89:M104"/>
    <mergeCell ref="W105:W112"/>
    <mergeCell ref="W23:W25"/>
    <mergeCell ref="V23:V25"/>
    <mergeCell ref="C23:C25"/>
    <mergeCell ref="D23:D25"/>
    <mergeCell ref="E23:E25"/>
    <mergeCell ref="F23:F25"/>
    <mergeCell ref="G23:G25"/>
    <mergeCell ref="A26:A30"/>
    <mergeCell ref="O26:O30"/>
    <mergeCell ref="U26:U30"/>
    <mergeCell ref="B26:B30"/>
    <mergeCell ref="V26:V30"/>
    <mergeCell ref="C26:C30"/>
    <mergeCell ref="W26:W30"/>
    <mergeCell ref="D26:D30"/>
    <mergeCell ref="E26:E30"/>
    <mergeCell ref="F26:F30"/>
    <mergeCell ref="G26:G30"/>
    <mergeCell ref="H26:H30"/>
    <mergeCell ref="I26:I30"/>
    <mergeCell ref="J26:J30"/>
    <mergeCell ref="K26:K30"/>
    <mergeCell ref="L26:L30"/>
    <mergeCell ref="M26:M30"/>
    <mergeCell ref="W9:W22"/>
    <mergeCell ref="D9:D22"/>
    <mergeCell ref="E9:E22"/>
    <mergeCell ref="F9:F22"/>
    <mergeCell ref="G9:G22"/>
    <mergeCell ref="H9:H22"/>
    <mergeCell ref="I9:I22"/>
    <mergeCell ref="J9:J22"/>
    <mergeCell ref="K9:K22"/>
    <mergeCell ref="L9:L22"/>
    <mergeCell ref="M9:M22"/>
    <mergeCell ref="O9:O22"/>
    <mergeCell ref="U9:U22"/>
    <mergeCell ref="V9:V22"/>
    <mergeCell ref="S2:U2"/>
    <mergeCell ref="F2:G2"/>
    <mergeCell ref="N2:O2"/>
    <mergeCell ref="A23:A25"/>
    <mergeCell ref="O23:O25"/>
    <mergeCell ref="U23:U25"/>
    <mergeCell ref="B23:B25"/>
    <mergeCell ref="H23:H25"/>
    <mergeCell ref="I23:I25"/>
    <mergeCell ref="J23:J25"/>
    <mergeCell ref="K23:K25"/>
    <mergeCell ref="L23:L25"/>
    <mergeCell ref="M23:M25"/>
    <mergeCell ref="A9:A22"/>
    <mergeCell ref="B9:B22"/>
    <mergeCell ref="C9:C22"/>
    <mergeCell ref="W126:W135"/>
    <mergeCell ref="A136:A140"/>
    <mergeCell ref="O136:O140"/>
    <mergeCell ref="U136:U140"/>
    <mergeCell ref="B136:B140"/>
    <mergeCell ref="V136:V140"/>
    <mergeCell ref="C136:C140"/>
    <mergeCell ref="W136:W140"/>
    <mergeCell ref="D126:D135"/>
    <mergeCell ref="E126:E135"/>
    <mergeCell ref="F126:F135"/>
    <mergeCell ref="G126:G135"/>
    <mergeCell ref="H126:H135"/>
    <mergeCell ref="I126:I135"/>
    <mergeCell ref="J126:J135"/>
    <mergeCell ref="K126:K135"/>
    <mergeCell ref="L126:L135"/>
    <mergeCell ref="D136:D140"/>
    <mergeCell ref="E136:E140"/>
    <mergeCell ref="F136:F140"/>
    <mergeCell ref="G136:G140"/>
    <mergeCell ref="H136:H140"/>
    <mergeCell ref="I136:I140"/>
    <mergeCell ref="M126:M135"/>
    <mergeCell ref="J136:J140"/>
    <mergeCell ref="K136:K140"/>
    <mergeCell ref="L136:L140"/>
    <mergeCell ref="M136:M140"/>
    <mergeCell ref="A126:A135"/>
    <mergeCell ref="O126:O135"/>
    <mergeCell ref="U126:U135"/>
    <mergeCell ref="B126:B135"/>
    <mergeCell ref="V126:V135"/>
    <mergeCell ref="C126:C135"/>
    <mergeCell ref="K31:K36"/>
    <mergeCell ref="L31:L36"/>
    <mergeCell ref="M31:M36"/>
    <mergeCell ref="A113:A122"/>
    <mergeCell ref="O113:O122"/>
    <mergeCell ref="U113:U122"/>
    <mergeCell ref="B113:B122"/>
    <mergeCell ref="V113:V122"/>
    <mergeCell ref="C113:C122"/>
    <mergeCell ref="O84:O88"/>
    <mergeCell ref="U84:U88"/>
    <mergeCell ref="V84:V88"/>
    <mergeCell ref="A84:A88"/>
    <mergeCell ref="B84:B88"/>
    <mergeCell ref="D72:D83"/>
    <mergeCell ref="E72:E83"/>
    <mergeCell ref="F72:F83"/>
    <mergeCell ref="G72:G83"/>
    <mergeCell ref="H72:H83"/>
    <mergeCell ref="I72:I83"/>
    <mergeCell ref="J72:J83"/>
    <mergeCell ref="K72:K83"/>
    <mergeCell ref="L72:L83"/>
    <mergeCell ref="M72:M83"/>
    <mergeCell ref="W113:W122"/>
    <mergeCell ref="D113:D122"/>
    <mergeCell ref="E113:E122"/>
    <mergeCell ref="F113:F122"/>
    <mergeCell ref="G113:G122"/>
    <mergeCell ref="H113:H122"/>
    <mergeCell ref="I113:I122"/>
    <mergeCell ref="J113:J122"/>
    <mergeCell ref="K113:K122"/>
    <mergeCell ref="L113:L122"/>
    <mergeCell ref="M113:M122"/>
    <mergeCell ref="U64:U69"/>
    <mergeCell ref="V64:V69"/>
    <mergeCell ref="C84:C88"/>
    <mergeCell ref="W84:W88"/>
    <mergeCell ref="D84:D88"/>
    <mergeCell ref="E84:E88"/>
    <mergeCell ref="F84:F88"/>
    <mergeCell ref="G84:G88"/>
    <mergeCell ref="H84:H88"/>
    <mergeCell ref="I84:I88"/>
    <mergeCell ref="J84:J88"/>
    <mergeCell ref="K84:K88"/>
    <mergeCell ref="L84:L88"/>
    <mergeCell ref="M84:M88"/>
    <mergeCell ref="G64:G69"/>
    <mergeCell ref="H64:H69"/>
    <mergeCell ref="I64:I69"/>
    <mergeCell ref="J64:J69"/>
    <mergeCell ref="K64:K69"/>
    <mergeCell ref="L64:L69"/>
    <mergeCell ref="M64:M69"/>
    <mergeCell ref="W70:W71"/>
    <mergeCell ref="A64:A69"/>
    <mergeCell ref="B64:B69"/>
    <mergeCell ref="C64:C69"/>
    <mergeCell ref="W64:W69"/>
    <mergeCell ref="D64:D69"/>
    <mergeCell ref="E64:E69"/>
    <mergeCell ref="F64:F69"/>
    <mergeCell ref="A147:A148"/>
    <mergeCell ref="O147:O148"/>
    <mergeCell ref="U147:U148"/>
    <mergeCell ref="B147:B148"/>
    <mergeCell ref="V147:V148"/>
    <mergeCell ref="C147:C148"/>
    <mergeCell ref="W147:W148"/>
    <mergeCell ref="D147:D148"/>
    <mergeCell ref="E147:E148"/>
    <mergeCell ref="F147:F148"/>
    <mergeCell ref="G147:G148"/>
    <mergeCell ref="H147:H148"/>
    <mergeCell ref="I147:I148"/>
    <mergeCell ref="J147:J148"/>
    <mergeCell ref="K147:K148"/>
    <mergeCell ref="L147:L148"/>
    <mergeCell ref="M147:M148"/>
  </mergeCells>
  <pageMargins left="0.25" right="0.25" top="0.75" bottom="0.75" header="0.3" footer="0.3"/>
  <pageSetup paperSize="9" scale="22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00B050"/>
  </sheetPr>
  <dimension ref="A1:V15"/>
  <sheetViews>
    <sheetView showGridLines="0" zoomScale="50" zoomScaleNormal="50" workbookViewId="0">
      <pane ySplit="8" topLeftCell="A9" activePane="bottomLeft" state="frozen"/>
      <selection pane="bottomLeft" activeCell="H14" sqref="H14"/>
    </sheetView>
  </sheetViews>
  <sheetFormatPr defaultColWidth="0" defaultRowHeight="18.75" x14ac:dyDescent="0.25"/>
  <cols>
    <col min="1" max="1" width="14" style="3" customWidth="1"/>
    <col min="2" max="2" width="25.42578125" style="3" customWidth="1"/>
    <col min="3" max="3" width="39.5703125" style="3" bestFit="1" customWidth="1"/>
    <col min="4" max="4" width="23.85546875" style="3" customWidth="1"/>
    <col min="5" max="5" width="32.42578125" style="3" customWidth="1"/>
    <col min="6" max="6" width="27.42578125" style="11" customWidth="1"/>
    <col min="7" max="7" width="27.42578125" style="3" customWidth="1"/>
    <col min="8" max="8" width="33" style="3" customWidth="1"/>
    <col min="9" max="10" width="27.28515625" style="10" customWidth="1"/>
    <col min="11" max="11" width="26.5703125" style="3" customWidth="1"/>
    <col min="12" max="12" width="38.42578125" style="11" customWidth="1"/>
    <col min="13" max="13" width="37.5703125" style="3" customWidth="1"/>
    <col min="14" max="14" width="24.7109375" style="10" customWidth="1"/>
    <col min="15" max="15" width="24.42578125" style="11" customWidth="1"/>
    <col min="16" max="16" width="24.28515625" style="11" customWidth="1"/>
    <col min="17" max="17" width="27.42578125" style="11" customWidth="1"/>
    <col min="18" max="18" width="27.140625" style="11" customWidth="1"/>
    <col min="19" max="19" width="23.42578125" style="11" customWidth="1"/>
    <col min="20" max="20" width="22.85546875" style="10" customWidth="1"/>
    <col min="21" max="21" width="21.85546875" style="2" customWidth="1"/>
    <col min="22" max="16384" width="9.140625" style="2" hidden="1"/>
  </cols>
  <sheetData>
    <row r="1" spans="1:22" ht="18.600000000000001" thickBot="1" x14ac:dyDescent="0.35"/>
    <row r="2" spans="1:22" ht="39.950000000000003" customHeight="1" thickBot="1" x14ac:dyDescent="0.3">
      <c r="B2" s="68"/>
      <c r="C2" s="68"/>
      <c r="D2" s="68"/>
      <c r="E2" s="445" t="s">
        <v>24</v>
      </c>
      <c r="F2" s="446"/>
      <c r="G2" s="80">
        <f>SUM(G9:G9999)</f>
        <v>1889780.05</v>
      </c>
      <c r="L2" s="523" t="s">
        <v>137</v>
      </c>
      <c r="M2" s="524"/>
      <c r="N2" s="69">
        <f>SUM(N9:N9999)</f>
        <v>801665.47999999986</v>
      </c>
      <c r="P2" s="68"/>
      <c r="Q2" s="391" t="s">
        <v>45</v>
      </c>
      <c r="R2" s="392"/>
      <c r="S2" s="393"/>
      <c r="T2" s="70">
        <f>SUM(T9:T9999)</f>
        <v>0</v>
      </c>
    </row>
    <row r="3" spans="1:22" ht="18" x14ac:dyDescent="0.3">
      <c r="E3" s="2"/>
      <c r="F3" s="2"/>
      <c r="G3" s="2"/>
      <c r="H3" s="2"/>
      <c r="L3" s="2"/>
      <c r="M3" s="2"/>
      <c r="P3" s="2"/>
      <c r="Q3" s="2"/>
      <c r="R3" s="2"/>
      <c r="S3" s="2"/>
    </row>
    <row r="4" spans="1:22" ht="39.950000000000003" customHeight="1" x14ac:dyDescent="0.3">
      <c r="E4" s="2"/>
      <c r="F4" s="2"/>
      <c r="G4" s="2"/>
      <c r="H4" s="2"/>
      <c r="L4" s="2"/>
      <c r="M4" s="2"/>
      <c r="P4" s="2"/>
      <c r="Q4" s="2"/>
      <c r="R4" s="2"/>
      <c r="S4" s="2"/>
    </row>
    <row r="6" spans="1:22" ht="150" x14ac:dyDescent="0.25">
      <c r="A6" s="23" t="s">
        <v>8</v>
      </c>
      <c r="B6" s="23" t="s">
        <v>21</v>
      </c>
      <c r="C6" s="23" t="s">
        <v>10</v>
      </c>
      <c r="D6" s="23" t="s">
        <v>15</v>
      </c>
      <c r="E6" s="23" t="s">
        <v>0</v>
      </c>
      <c r="F6" s="22" t="s">
        <v>3</v>
      </c>
      <c r="G6" s="23" t="s">
        <v>38</v>
      </c>
      <c r="H6" s="23" t="s">
        <v>22</v>
      </c>
      <c r="I6" s="71" t="s">
        <v>46</v>
      </c>
      <c r="J6" s="71" t="s">
        <v>5</v>
      </c>
      <c r="K6" s="23" t="s">
        <v>39</v>
      </c>
      <c r="L6" s="22" t="s">
        <v>37</v>
      </c>
      <c r="M6" s="23" t="s">
        <v>6</v>
      </c>
      <c r="N6" s="71" t="s">
        <v>23</v>
      </c>
      <c r="O6" s="22" t="s">
        <v>9</v>
      </c>
      <c r="P6" s="22" t="s">
        <v>40</v>
      </c>
      <c r="Q6" s="22" t="s">
        <v>103</v>
      </c>
      <c r="R6" s="22" t="s">
        <v>104</v>
      </c>
      <c r="S6" s="22" t="s">
        <v>41</v>
      </c>
      <c r="T6" s="71" t="s">
        <v>43</v>
      </c>
      <c r="U6" s="13" t="s">
        <v>42</v>
      </c>
    </row>
    <row r="7" spans="1:22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</row>
    <row r="8" spans="1:22" s="14" customFormat="1" ht="131.25" x14ac:dyDescent="0.25">
      <c r="A8" s="72" t="s">
        <v>36</v>
      </c>
      <c r="B8" s="72" t="s">
        <v>67</v>
      </c>
      <c r="C8" s="72" t="s">
        <v>66</v>
      </c>
      <c r="D8" s="72" t="s">
        <v>48</v>
      </c>
      <c r="E8" s="77">
        <v>43823</v>
      </c>
      <c r="F8" s="73" t="s">
        <v>65</v>
      </c>
      <c r="G8" s="74">
        <v>100000</v>
      </c>
      <c r="H8" s="74">
        <v>90000</v>
      </c>
      <c r="I8" s="78">
        <v>2308091759</v>
      </c>
      <c r="J8" s="72" t="s">
        <v>68</v>
      </c>
      <c r="K8" s="72" t="s">
        <v>69</v>
      </c>
      <c r="L8" s="73">
        <v>43801</v>
      </c>
      <c r="M8" s="72" t="s">
        <v>70</v>
      </c>
      <c r="N8" s="74">
        <v>10000</v>
      </c>
      <c r="O8" s="73">
        <v>43489</v>
      </c>
      <c r="P8" s="73"/>
      <c r="Q8" s="73"/>
      <c r="R8" s="73"/>
      <c r="S8" s="73"/>
      <c r="T8" s="74"/>
      <c r="U8" s="75" t="s">
        <v>64</v>
      </c>
    </row>
    <row r="9" spans="1:22" s="85" customFormat="1" ht="90" customHeight="1" x14ac:dyDescent="0.25">
      <c r="A9" s="525">
        <v>1</v>
      </c>
      <c r="B9" s="528"/>
      <c r="C9" s="528"/>
      <c r="D9" s="528" t="s">
        <v>191</v>
      </c>
      <c r="E9" s="534">
        <v>44925</v>
      </c>
      <c r="F9" s="531" t="s">
        <v>192</v>
      </c>
      <c r="G9" s="537">
        <v>1097939</v>
      </c>
      <c r="H9" s="543">
        <f>IF(V9 = 4, G9 + SUM(Q9:Q13) - SUM(R9:R13) - SUM(N9:N13) - T9,0)</f>
        <v>296273.52000000014</v>
      </c>
      <c r="I9" s="546">
        <v>2312054894</v>
      </c>
      <c r="J9" s="528" t="s">
        <v>149</v>
      </c>
      <c r="K9" s="528" t="s">
        <v>223</v>
      </c>
      <c r="L9" s="214" t="s">
        <v>307</v>
      </c>
      <c r="M9" s="528" t="s">
        <v>224</v>
      </c>
      <c r="N9" s="208">
        <v>383959.73</v>
      </c>
      <c r="O9" s="214" t="s">
        <v>346</v>
      </c>
      <c r="P9" s="207"/>
      <c r="Q9" s="208"/>
      <c r="R9" s="208"/>
      <c r="S9" s="531"/>
      <c r="T9" s="537"/>
      <c r="U9" s="540"/>
      <c r="V9" s="85">
        <v>4</v>
      </c>
    </row>
    <row r="10" spans="1:22" x14ac:dyDescent="0.25">
      <c r="A10" s="526"/>
      <c r="B10" s="529"/>
      <c r="C10" s="529"/>
      <c r="D10" s="529"/>
      <c r="E10" s="535"/>
      <c r="F10" s="532"/>
      <c r="G10" s="538"/>
      <c r="H10" s="544"/>
      <c r="I10" s="547"/>
      <c r="J10" s="529"/>
      <c r="K10" s="529"/>
      <c r="L10" s="215" t="s">
        <v>345</v>
      </c>
      <c r="M10" s="529"/>
      <c r="N10" s="209">
        <v>76695.94</v>
      </c>
      <c r="O10" s="215" t="s">
        <v>354</v>
      </c>
      <c r="P10" s="210"/>
      <c r="Q10" s="209"/>
      <c r="R10" s="209"/>
      <c r="S10" s="532"/>
      <c r="T10" s="538"/>
      <c r="U10" s="541"/>
      <c r="V10" s="2">
        <v>4</v>
      </c>
    </row>
    <row r="11" spans="1:22" x14ac:dyDescent="0.25">
      <c r="A11" s="526"/>
      <c r="B11" s="529"/>
      <c r="C11" s="529"/>
      <c r="D11" s="529"/>
      <c r="E11" s="535"/>
      <c r="F11" s="532"/>
      <c r="G11" s="538"/>
      <c r="H11" s="544"/>
      <c r="I11" s="547"/>
      <c r="J11" s="529"/>
      <c r="K11" s="529"/>
      <c r="L11" s="215" t="s">
        <v>345</v>
      </c>
      <c r="M11" s="529"/>
      <c r="N11" s="209">
        <v>160000</v>
      </c>
      <c r="O11" s="215" t="s">
        <v>372</v>
      </c>
      <c r="P11" s="210"/>
      <c r="Q11" s="209"/>
      <c r="R11" s="209"/>
      <c r="S11" s="532"/>
      <c r="T11" s="538"/>
      <c r="U11" s="541"/>
      <c r="V11" s="2">
        <v>4</v>
      </c>
    </row>
    <row r="12" spans="1:22" x14ac:dyDescent="0.25">
      <c r="A12" s="526"/>
      <c r="B12" s="529"/>
      <c r="C12" s="529"/>
      <c r="D12" s="529"/>
      <c r="E12" s="535"/>
      <c r="F12" s="532"/>
      <c r="G12" s="538"/>
      <c r="H12" s="544"/>
      <c r="I12" s="547"/>
      <c r="J12" s="529"/>
      <c r="K12" s="529"/>
      <c r="L12" s="215" t="s">
        <v>371</v>
      </c>
      <c r="M12" s="529"/>
      <c r="N12" s="209">
        <v>134512.32999999999</v>
      </c>
      <c r="O12" s="215" t="s">
        <v>381</v>
      </c>
      <c r="P12" s="210"/>
      <c r="Q12" s="209"/>
      <c r="R12" s="209"/>
      <c r="S12" s="532"/>
      <c r="T12" s="538"/>
      <c r="U12" s="541"/>
      <c r="V12" s="2">
        <v>4</v>
      </c>
    </row>
    <row r="13" spans="1:22" x14ac:dyDescent="0.25">
      <c r="A13" s="527"/>
      <c r="B13" s="530"/>
      <c r="C13" s="530"/>
      <c r="D13" s="530"/>
      <c r="E13" s="536"/>
      <c r="F13" s="533"/>
      <c r="G13" s="539"/>
      <c r="H13" s="545"/>
      <c r="I13" s="548"/>
      <c r="J13" s="530"/>
      <c r="K13" s="530"/>
      <c r="L13" s="216" t="s">
        <v>460</v>
      </c>
      <c r="M13" s="530"/>
      <c r="N13" s="211">
        <v>46497.48</v>
      </c>
      <c r="O13" s="216" t="s">
        <v>464</v>
      </c>
      <c r="P13" s="212"/>
      <c r="Q13" s="211"/>
      <c r="R13" s="211"/>
      <c r="S13" s="533"/>
      <c r="T13" s="539"/>
      <c r="U13" s="542"/>
      <c r="V13" s="2">
        <v>4</v>
      </c>
    </row>
    <row r="14" spans="1:22" s="85" customFormat="1" ht="93.75" x14ac:dyDescent="0.25">
      <c r="A14" s="217">
        <v>2</v>
      </c>
      <c r="B14" s="218"/>
      <c r="C14" s="218"/>
      <c r="D14" s="218" t="s">
        <v>485</v>
      </c>
      <c r="E14" s="223" t="s">
        <v>486</v>
      </c>
      <c r="F14" s="219" t="s">
        <v>473</v>
      </c>
      <c r="G14" s="220">
        <v>791841.05</v>
      </c>
      <c r="H14" s="221">
        <f>IF(V14 = 5, G14 + SUM(Q14:Q14) - SUM(R14:R14) - SUM(N14:N14) - T14,0)</f>
        <v>791841.05</v>
      </c>
      <c r="I14" s="224">
        <v>7715995942</v>
      </c>
      <c r="J14" s="218" t="s">
        <v>475</v>
      </c>
      <c r="K14" s="218" t="s">
        <v>487</v>
      </c>
      <c r="L14" s="223"/>
      <c r="M14" s="218" t="s">
        <v>488</v>
      </c>
      <c r="N14" s="220"/>
      <c r="O14" s="223"/>
      <c r="P14" s="219"/>
      <c r="Q14" s="220"/>
      <c r="R14" s="220"/>
      <c r="S14" s="219"/>
      <c r="T14" s="220"/>
      <c r="U14" s="213"/>
      <c r="V14" s="85">
        <v>5</v>
      </c>
    </row>
    <row r="15" spans="1:22" ht="18" x14ac:dyDescent="0.3">
      <c r="V15" s="2">
        <v>6</v>
      </c>
    </row>
  </sheetData>
  <sheetProtection algorithmName="SHA-512" hashValue="EcBjLbrKuFXIE4zvboX9bvg0YL1LVl0oLJGhPbLjdlNwUoabBNjHNPLuo0P1gvYPFEJqGc4XiIayl+NSC1FblA==" saltValue="U01S3Xz8eaerIudM5/mDAQ==" spinCount="100000" sheet="1" objects="1" scenarios="1" formatCells="0" formatColumns="0" formatRows="0"/>
  <mergeCells count="18">
    <mergeCell ref="T9:T13"/>
    <mergeCell ref="U9:U13"/>
    <mergeCell ref="H9:H13"/>
    <mergeCell ref="I9:I13"/>
    <mergeCell ref="J9:J13"/>
    <mergeCell ref="K9:K13"/>
    <mergeCell ref="Q2:S2"/>
    <mergeCell ref="E2:F2"/>
    <mergeCell ref="L2:M2"/>
    <mergeCell ref="A9:A13"/>
    <mergeCell ref="M9:M13"/>
    <mergeCell ref="S9:S13"/>
    <mergeCell ref="B9:B13"/>
    <mergeCell ref="C9:C13"/>
    <mergeCell ref="D9:D13"/>
    <mergeCell ref="E9:E13"/>
    <mergeCell ref="F9:F13"/>
    <mergeCell ref="G9:G1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4" style="3" customWidth="1"/>
    <col min="3" max="3" width="30.7109375" style="3" customWidth="1"/>
    <col min="4" max="6" width="33.7109375" style="3" customWidth="1"/>
    <col min="7" max="8" width="22.28515625" style="10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8" width="21.85546875" style="10" customWidth="1"/>
    <col min="19" max="19" width="23.5703125" style="3" customWidth="1"/>
    <col min="20" max="20" width="31.28515625" style="11" customWidth="1"/>
    <col min="21" max="21" width="27.7109375" style="11" customWidth="1"/>
    <col min="22" max="22" width="25.42578125" style="10" customWidth="1"/>
    <col min="23" max="23" width="25" style="11" customWidth="1"/>
    <col min="24" max="24" width="24.5703125" style="3" customWidth="1"/>
    <col min="25" max="25" width="24.85546875" style="3" customWidth="1"/>
    <col min="26" max="26" width="24" style="3" customWidth="1"/>
    <col min="27" max="27" width="23.7109375" style="11" customWidth="1"/>
    <col min="28" max="28" width="19.140625" style="10" customWidth="1"/>
    <col min="29" max="29" width="23.140625" style="3" customWidth="1"/>
    <col min="30" max="30" width="9.140625" style="2" hidden="1" customWidth="1"/>
    <col min="31" max="31" width="8.5703125" style="2" hidden="1" customWidth="1"/>
    <col min="32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445" t="s">
        <v>139</v>
      </c>
      <c r="F2" s="446"/>
      <c r="G2" s="82">
        <f>SUM(G9:G9999)</f>
        <v>0</v>
      </c>
      <c r="O2" s="445" t="s">
        <v>24</v>
      </c>
      <c r="P2" s="446"/>
      <c r="Q2" s="80">
        <f>SUM(Q9:Q9999)</f>
        <v>0</v>
      </c>
      <c r="T2" s="391" t="s">
        <v>137</v>
      </c>
      <c r="U2" s="393"/>
      <c r="V2" s="69">
        <f>SUM(V9:V9999)</f>
        <v>0</v>
      </c>
      <c r="X2" s="68"/>
      <c r="Y2" s="391" t="s">
        <v>45</v>
      </c>
      <c r="Z2" s="392"/>
      <c r="AA2" s="393"/>
      <c r="AB2" s="70">
        <f>SUM(AB9:AB9999)</f>
        <v>0</v>
      </c>
    </row>
    <row r="3" spans="1:30" ht="18" x14ac:dyDescent="0.3">
      <c r="T3" s="2"/>
      <c r="U3" s="2"/>
      <c r="X3" s="2"/>
      <c r="Y3" s="2"/>
      <c r="Z3" s="2"/>
      <c r="AA3" s="2"/>
    </row>
    <row r="4" spans="1:30" ht="39.950000000000003" customHeight="1" x14ac:dyDescent="0.3">
      <c r="T4" s="2"/>
      <c r="U4" s="2"/>
      <c r="X4" s="2"/>
      <c r="Y4" s="2"/>
      <c r="Z4" s="2"/>
      <c r="AA4" s="2"/>
    </row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25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18</v>
      </c>
      <c r="R6" s="25" t="s">
        <v>22</v>
      </c>
      <c r="S6" s="18" t="s">
        <v>19</v>
      </c>
      <c r="T6" s="24" t="s">
        <v>37</v>
      </c>
      <c r="U6" s="24" t="s">
        <v>20</v>
      </c>
      <c r="V6" s="25" t="s">
        <v>23</v>
      </c>
      <c r="W6" s="24" t="s">
        <v>9</v>
      </c>
      <c r="X6" s="23" t="s">
        <v>40</v>
      </c>
      <c r="Y6" s="23" t="s">
        <v>103</v>
      </c>
      <c r="Z6" s="23" t="s">
        <v>104</v>
      </c>
      <c r="AA6" s="22" t="s">
        <v>41</v>
      </c>
      <c r="AB6" s="25" t="s">
        <v>43</v>
      </c>
      <c r="AC6" s="18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1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0" t="s">
        <v>81</v>
      </c>
      <c r="V8" s="19">
        <v>8775.01</v>
      </c>
      <c r="W8" s="20">
        <v>43696</v>
      </c>
      <c r="X8" s="21"/>
      <c r="Y8" s="54"/>
      <c r="Z8" s="54"/>
      <c r="AA8" s="20"/>
      <c r="AB8" s="19"/>
      <c r="AC8" s="21" t="s">
        <v>64</v>
      </c>
    </row>
    <row r="9" spans="1:30" ht="18" x14ac:dyDescent="0.3">
      <c r="AD9" s="2">
        <v>2</v>
      </c>
    </row>
  </sheetData>
  <sheetProtection algorithmName="SHA-512" hashValue="ePKuPLaszab3zrjHthJD6xVzKL+miAkH9eUW+PppqbF1kY4pikpAsK5Lkdk2OHQp49Nb5J1WFtGwMNBK+bwi+w==" saltValue="lsNH72XAE2MHRArshPIorw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0">
    <tabColor theme="3" tint="0.39997558519241921"/>
  </sheetPr>
  <dimension ref="A1:AL9"/>
  <sheetViews>
    <sheetView showGridLines="0" zoomScale="50" zoomScaleNormal="50" workbookViewId="0">
      <pane ySplit="8" topLeftCell="A9" activePane="bottomLeft" state="frozen"/>
      <selection pane="bottomLeft" activeCell="A8" sqref="A8"/>
    </sheetView>
  </sheetViews>
  <sheetFormatPr defaultColWidth="0" defaultRowHeight="18.75" x14ac:dyDescent="0.25"/>
  <cols>
    <col min="1" max="1" width="9.140625" style="3" customWidth="1"/>
    <col min="2" max="2" width="47.140625" style="3" customWidth="1"/>
    <col min="3" max="3" width="34.42578125" style="3" customWidth="1"/>
    <col min="4" max="6" width="33.7109375" style="3" customWidth="1"/>
    <col min="7" max="7" width="22.28515625" style="10" customWidth="1"/>
    <col min="8" max="8" width="22.28515625" style="2" customWidth="1"/>
    <col min="9" max="9" width="24.28515625" style="29" customWidth="1"/>
    <col min="10" max="10" width="28.42578125" style="29" customWidth="1"/>
    <col min="11" max="12" width="19.5703125" style="3" customWidth="1"/>
    <col min="13" max="13" width="25.7109375" style="3" customWidth="1"/>
    <col min="14" max="14" width="24.42578125" style="11" bestFit="1" customWidth="1"/>
    <col min="15" max="15" width="24.42578125" style="3" customWidth="1"/>
    <col min="16" max="16" width="31.5703125" style="3" customWidth="1"/>
    <col min="17" max="17" width="27" style="10" customWidth="1"/>
    <col min="18" max="18" width="21.85546875" style="2" customWidth="1"/>
    <col min="19" max="19" width="23.5703125" style="2" customWidth="1"/>
    <col min="20" max="20" width="32.4257812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5.140625" style="2" customWidth="1"/>
    <col min="27" max="27" width="23.85546875" style="2" customWidth="1"/>
    <col min="28" max="28" width="20.28515625" style="2" customWidth="1"/>
    <col min="29" max="29" width="20" style="2" customWidth="1"/>
    <col min="30" max="38" width="0" style="2" hidden="1" customWidth="1"/>
    <col min="39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445" t="s">
        <v>139</v>
      </c>
      <c r="F2" s="446"/>
      <c r="G2" s="82">
        <f>SUM(G9:G9999)</f>
        <v>0</v>
      </c>
      <c r="H2" s="10"/>
      <c r="O2" s="445" t="s">
        <v>24</v>
      </c>
      <c r="P2" s="446"/>
      <c r="Q2" s="80">
        <f>SUM(Q9:Q9999)</f>
        <v>0</v>
      </c>
      <c r="T2" s="391" t="s">
        <v>137</v>
      </c>
      <c r="U2" s="393"/>
      <c r="V2" s="69">
        <f>SUM(V9:V9999)</f>
        <v>0</v>
      </c>
      <c r="X2" s="68"/>
      <c r="Y2" s="391" t="s">
        <v>45</v>
      </c>
      <c r="Z2" s="392"/>
      <c r="AA2" s="393"/>
      <c r="AB2" s="70">
        <f>SUM(AB9:AB9999)</f>
        <v>0</v>
      </c>
    </row>
    <row r="4" spans="1:30" ht="39.950000000000003" customHeight="1" x14ac:dyDescent="0.3"/>
    <row r="6" spans="1:30" ht="150" x14ac:dyDescent="0.25">
      <c r="A6" s="18" t="s">
        <v>8</v>
      </c>
      <c r="B6" s="18" t="s">
        <v>47</v>
      </c>
      <c r="C6" s="18" t="s">
        <v>33</v>
      </c>
      <c r="D6" s="18" t="s">
        <v>10</v>
      </c>
      <c r="E6" s="18" t="s">
        <v>11</v>
      </c>
      <c r="F6" s="18" t="s">
        <v>12</v>
      </c>
      <c r="G6" s="25" t="s">
        <v>13</v>
      </c>
      <c r="H6" s="1" t="s">
        <v>34</v>
      </c>
      <c r="I6" s="30" t="s">
        <v>16</v>
      </c>
      <c r="J6" s="30" t="s">
        <v>17</v>
      </c>
      <c r="K6" s="18" t="s">
        <v>14</v>
      </c>
      <c r="L6" s="18" t="s">
        <v>32</v>
      </c>
      <c r="M6" s="18" t="s">
        <v>15</v>
      </c>
      <c r="N6" s="24" t="s">
        <v>0</v>
      </c>
      <c r="O6" s="18" t="s">
        <v>46</v>
      </c>
      <c r="P6" s="18" t="s">
        <v>5</v>
      </c>
      <c r="Q6" s="25" t="s">
        <v>38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60" t="s">
        <v>36</v>
      </c>
      <c r="B7" s="60" t="s">
        <v>110</v>
      </c>
      <c r="C7" s="60" t="s">
        <v>111</v>
      </c>
      <c r="D7" s="60" t="s">
        <v>112</v>
      </c>
      <c r="E7" s="60" t="s">
        <v>113</v>
      </c>
      <c r="F7" s="60" t="s">
        <v>114</v>
      </c>
      <c r="G7" s="60" t="s">
        <v>115</v>
      </c>
      <c r="H7" s="60" t="s">
        <v>116</v>
      </c>
      <c r="I7" s="60" t="s">
        <v>117</v>
      </c>
      <c r="J7" s="60" t="s">
        <v>118</v>
      </c>
      <c r="K7" s="60" t="s">
        <v>119</v>
      </c>
      <c r="L7" s="60" t="s">
        <v>120</v>
      </c>
      <c r="M7" s="60" t="s">
        <v>121</v>
      </c>
      <c r="N7" s="60" t="s">
        <v>122</v>
      </c>
      <c r="O7" s="60" t="s">
        <v>123</v>
      </c>
      <c r="P7" s="60" t="s">
        <v>124</v>
      </c>
      <c r="Q7" s="60" t="s">
        <v>125</v>
      </c>
      <c r="R7" s="60" t="s">
        <v>126</v>
      </c>
      <c r="S7" s="60" t="s">
        <v>127</v>
      </c>
      <c r="T7" s="60" t="s">
        <v>128</v>
      </c>
      <c r="U7" s="60" t="s">
        <v>129</v>
      </c>
      <c r="V7" s="60" t="s">
        <v>130</v>
      </c>
      <c r="W7" s="60" t="s">
        <v>131</v>
      </c>
      <c r="X7" s="60" t="s">
        <v>132</v>
      </c>
      <c r="Y7" s="60" t="s">
        <v>133</v>
      </c>
      <c r="Z7" s="60" t="s">
        <v>134</v>
      </c>
      <c r="AA7" s="60" t="s">
        <v>135</v>
      </c>
      <c r="AB7" s="60" t="s">
        <v>136</v>
      </c>
      <c r="AC7" s="60" t="s">
        <v>138</v>
      </c>
    </row>
    <row r="8" spans="1:30" ht="168.75" x14ac:dyDescent="0.25">
      <c r="A8" s="54" t="s">
        <v>36</v>
      </c>
      <c r="B8" s="54"/>
      <c r="C8" s="54" t="s">
        <v>73</v>
      </c>
      <c r="D8" s="54" t="s">
        <v>74</v>
      </c>
      <c r="E8" s="54" t="s">
        <v>71</v>
      </c>
      <c r="F8" s="54" t="s">
        <v>72</v>
      </c>
      <c r="G8" s="56">
        <v>15500.01</v>
      </c>
      <c r="H8" s="56">
        <f t="shared" ref="H8" si="0">G8-Q8</f>
        <v>6725</v>
      </c>
      <c r="I8" s="79">
        <v>6</v>
      </c>
      <c r="J8" s="79">
        <v>0</v>
      </c>
      <c r="K8" s="54" t="s">
        <v>75</v>
      </c>
      <c r="L8" s="54" t="s">
        <v>76</v>
      </c>
      <c r="M8" s="54" t="s">
        <v>77</v>
      </c>
      <c r="N8" s="55">
        <v>43655</v>
      </c>
      <c r="O8" s="54" t="s">
        <v>79</v>
      </c>
      <c r="P8" s="54" t="s">
        <v>78</v>
      </c>
      <c r="Q8" s="56">
        <v>8775.01</v>
      </c>
      <c r="R8" s="56">
        <f>Q8-V8</f>
        <v>0</v>
      </c>
      <c r="S8" s="54" t="s">
        <v>80</v>
      </c>
      <c r="T8" s="55">
        <v>43677</v>
      </c>
      <c r="U8" s="54" t="s">
        <v>81</v>
      </c>
      <c r="V8" s="56">
        <v>8775.01</v>
      </c>
      <c r="W8" s="55">
        <v>43696</v>
      </c>
      <c r="X8" s="54"/>
      <c r="Y8" s="54"/>
      <c r="Z8" s="54"/>
      <c r="AA8" s="54"/>
      <c r="AB8" s="56"/>
      <c r="AC8" s="57" t="s">
        <v>64</v>
      </c>
    </row>
    <row r="9" spans="1:30" ht="18" x14ac:dyDescent="0.3">
      <c r="AD9" s="2">
        <v>2</v>
      </c>
    </row>
  </sheetData>
  <sheetProtection algorithmName="SHA-512" hashValue="y8MiLjbjCN3BtVAJxvKT2x5IikJAh+wZGNRCnL6+mkxM3FrKXgBaGpDaWu/DDEO/jwHe7wkHb6VBhljrkvXT4Q==" saltValue="msv54CK9dWqrP7Vmwb2JmA==" spinCount="100000" sheet="1" objects="1" scenarios="1" formatCells="0" formatColumns="0" formatRows="0"/>
  <mergeCells count="4">
    <mergeCell ref="E2:F2"/>
    <mergeCell ref="O2:P2"/>
    <mergeCell ref="Y2:AA2"/>
    <mergeCell ref="T2:U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1">
    <tabColor theme="3" tint="0.39997558519241921"/>
  </sheetPr>
  <dimension ref="A1:AD32"/>
  <sheetViews>
    <sheetView showGridLines="0" topLeftCell="G1" zoomScale="50" zoomScaleNormal="50" workbookViewId="0">
      <pane ySplit="8" topLeftCell="A18" activePane="bottomLeft" state="frozen"/>
      <selection pane="bottomLeft" activeCell="V18" sqref="V18"/>
    </sheetView>
  </sheetViews>
  <sheetFormatPr defaultColWidth="0" defaultRowHeight="18.75" x14ac:dyDescent="0.25"/>
  <cols>
    <col min="1" max="1" width="9.140625" style="2" customWidth="1"/>
    <col min="2" max="2" width="47.140625" style="2" customWidth="1"/>
    <col min="3" max="3" width="33.28515625" style="2" customWidth="1"/>
    <col min="4" max="6" width="33.7109375" style="2" customWidth="1"/>
    <col min="7" max="8" width="22.28515625" style="2" customWidth="1"/>
    <col min="9" max="9" width="24.28515625" style="2" customWidth="1"/>
    <col min="10" max="10" width="28.42578125" style="2" customWidth="1"/>
    <col min="11" max="12" width="19.5703125" style="2" customWidth="1"/>
    <col min="13" max="13" width="27.7109375" style="2" customWidth="1"/>
    <col min="14" max="14" width="24.42578125" style="2" bestFit="1" customWidth="1"/>
    <col min="15" max="15" width="27.42578125" style="2" customWidth="1"/>
    <col min="16" max="16" width="31.5703125" style="2" customWidth="1"/>
    <col min="17" max="18" width="21.85546875" style="2" customWidth="1"/>
    <col min="19" max="19" width="23.5703125" style="2" customWidth="1"/>
    <col min="20" max="20" width="31.85546875" style="2" customWidth="1"/>
    <col min="21" max="21" width="27.7109375" style="2" customWidth="1"/>
    <col min="22" max="22" width="25.42578125" style="2" customWidth="1"/>
    <col min="23" max="23" width="25" style="2" customWidth="1"/>
    <col min="24" max="26" width="29.42578125" style="2" customWidth="1"/>
    <col min="27" max="27" width="26.28515625" style="2" customWidth="1"/>
    <col min="28" max="28" width="25.140625" style="2" customWidth="1"/>
    <col min="29" max="29" width="19.140625" style="2" customWidth="1"/>
    <col min="30" max="16384" width="9.140625" style="2" hidden="1"/>
  </cols>
  <sheetData>
    <row r="1" spans="1:30" ht="18.600000000000001" thickBot="1" x14ac:dyDescent="0.35"/>
    <row r="2" spans="1:30" ht="39.950000000000003" customHeight="1" thickBot="1" x14ac:dyDescent="0.3">
      <c r="E2" s="445" t="s">
        <v>139</v>
      </c>
      <c r="F2" s="446"/>
      <c r="G2" s="82">
        <f>SUM(G9:G9999)</f>
        <v>1367088</v>
      </c>
      <c r="H2" s="10"/>
      <c r="O2" s="445" t="s">
        <v>24</v>
      </c>
      <c r="P2" s="446"/>
      <c r="Q2" s="80">
        <f>SUM(Q9:Q9999)</f>
        <v>1241120.1600000001</v>
      </c>
      <c r="T2" s="391" t="s">
        <v>137</v>
      </c>
      <c r="U2" s="393"/>
      <c r="V2" s="69">
        <f>SUM(V9:V9999)</f>
        <v>973214.88000000012</v>
      </c>
      <c r="X2" s="68"/>
      <c r="Y2" s="391" t="s">
        <v>45</v>
      </c>
      <c r="Z2" s="392"/>
      <c r="AA2" s="393"/>
      <c r="AB2" s="70">
        <f>SUM(AB9:AB9999)</f>
        <v>8112</v>
      </c>
    </row>
    <row r="4" spans="1:30" ht="39.950000000000003" customHeight="1" x14ac:dyDescent="0.3">
      <c r="P4" s="390"/>
      <c r="Q4" s="390"/>
      <c r="R4" s="390"/>
      <c r="T4" s="68"/>
      <c r="U4" s="68"/>
    </row>
    <row r="6" spans="1:30" ht="150" x14ac:dyDescent="0.25">
      <c r="A6" s="1" t="s">
        <v>8</v>
      </c>
      <c r="B6" s="1" t="s">
        <v>47</v>
      </c>
      <c r="C6" s="1" t="s">
        <v>33</v>
      </c>
      <c r="D6" s="1" t="s">
        <v>10</v>
      </c>
      <c r="E6" s="1" t="s">
        <v>11</v>
      </c>
      <c r="F6" s="1" t="s">
        <v>12</v>
      </c>
      <c r="G6" s="1" t="s">
        <v>13</v>
      </c>
      <c r="H6" s="1" t="s">
        <v>34</v>
      </c>
      <c r="I6" s="1" t="s">
        <v>16</v>
      </c>
      <c r="J6" s="1" t="s">
        <v>17</v>
      </c>
      <c r="K6" s="1" t="s">
        <v>14</v>
      </c>
      <c r="L6" s="1" t="s">
        <v>32</v>
      </c>
      <c r="M6" s="1" t="s">
        <v>15</v>
      </c>
      <c r="N6" s="1" t="s">
        <v>0</v>
      </c>
      <c r="O6" s="1" t="s">
        <v>46</v>
      </c>
      <c r="P6" s="1" t="s">
        <v>5</v>
      </c>
      <c r="Q6" s="1" t="s">
        <v>18</v>
      </c>
      <c r="R6" s="1" t="s">
        <v>22</v>
      </c>
      <c r="S6" s="1" t="s">
        <v>19</v>
      </c>
      <c r="T6" s="1" t="s">
        <v>37</v>
      </c>
      <c r="U6" s="1" t="s">
        <v>20</v>
      </c>
      <c r="V6" s="1" t="s">
        <v>23</v>
      </c>
      <c r="W6" s="1" t="s">
        <v>9</v>
      </c>
      <c r="X6" s="13" t="s">
        <v>40</v>
      </c>
      <c r="Y6" s="13" t="s">
        <v>103</v>
      </c>
      <c r="Z6" s="13" t="s">
        <v>104</v>
      </c>
      <c r="AA6" s="13" t="s">
        <v>41</v>
      </c>
      <c r="AB6" s="1" t="s">
        <v>43</v>
      </c>
      <c r="AC6" s="1" t="s">
        <v>42</v>
      </c>
    </row>
    <row r="7" spans="1:30" ht="18" x14ac:dyDescent="0.3">
      <c r="A7" s="76">
        <v>1</v>
      </c>
      <c r="B7" s="76">
        <v>2</v>
      </c>
      <c r="C7" s="76">
        <v>3</v>
      </c>
      <c r="D7" s="76">
        <v>4</v>
      </c>
      <c r="E7" s="76">
        <v>5</v>
      </c>
      <c r="F7" s="76">
        <v>6</v>
      </c>
      <c r="G7" s="76">
        <v>7</v>
      </c>
      <c r="H7" s="76">
        <v>8</v>
      </c>
      <c r="I7" s="76">
        <v>9</v>
      </c>
      <c r="J7" s="76">
        <v>10</v>
      </c>
      <c r="K7" s="76">
        <v>11</v>
      </c>
      <c r="L7" s="76">
        <v>12</v>
      </c>
      <c r="M7" s="76">
        <v>13</v>
      </c>
      <c r="N7" s="76">
        <v>14</v>
      </c>
      <c r="O7" s="76">
        <v>15</v>
      </c>
      <c r="P7" s="76">
        <v>16</v>
      </c>
      <c r="Q7" s="76">
        <v>17</v>
      </c>
      <c r="R7" s="76">
        <v>18</v>
      </c>
      <c r="S7" s="76">
        <v>19</v>
      </c>
      <c r="T7" s="76">
        <v>20</v>
      </c>
      <c r="U7" s="76">
        <v>21</v>
      </c>
      <c r="V7" s="76">
        <v>22</v>
      </c>
      <c r="W7" s="76">
        <v>23</v>
      </c>
      <c r="X7" s="76">
        <v>24</v>
      </c>
      <c r="Y7" s="76">
        <v>25</v>
      </c>
      <c r="Z7" s="76">
        <v>26</v>
      </c>
      <c r="AA7" s="76">
        <v>27</v>
      </c>
      <c r="AB7" s="76">
        <v>28</v>
      </c>
      <c r="AC7" s="76">
        <v>29</v>
      </c>
    </row>
    <row r="8" spans="1:30" ht="168.75" x14ac:dyDescent="0.25">
      <c r="A8" s="21" t="s">
        <v>36</v>
      </c>
      <c r="B8" s="21"/>
      <c r="C8" s="21" t="s">
        <v>73</v>
      </c>
      <c r="D8" s="21" t="s">
        <v>74</v>
      </c>
      <c r="E8" s="21" t="s">
        <v>71</v>
      </c>
      <c r="F8" s="21" t="s">
        <v>72</v>
      </c>
      <c r="G8" s="19">
        <v>15500.01</v>
      </c>
      <c r="H8" s="19">
        <f t="shared" ref="H8" si="0">G8-Q8</f>
        <v>6725</v>
      </c>
      <c r="I8" s="31">
        <v>6</v>
      </c>
      <c r="J8" s="31">
        <v>0</v>
      </c>
      <c r="K8" s="21" t="s">
        <v>75</v>
      </c>
      <c r="L8" s="21" t="s">
        <v>76</v>
      </c>
      <c r="M8" s="21" t="s">
        <v>77</v>
      </c>
      <c r="N8" s="20">
        <v>43655</v>
      </c>
      <c r="O8" s="20" t="s">
        <v>79</v>
      </c>
      <c r="P8" s="21" t="s">
        <v>78</v>
      </c>
      <c r="Q8" s="19">
        <v>8775.01</v>
      </c>
      <c r="R8" s="19">
        <f>Q8-V8</f>
        <v>0</v>
      </c>
      <c r="S8" s="21" t="s">
        <v>80</v>
      </c>
      <c r="T8" s="20">
        <v>43677</v>
      </c>
      <c r="U8" s="21" t="s">
        <v>81</v>
      </c>
      <c r="V8" s="19">
        <v>8775.01</v>
      </c>
      <c r="W8" s="20">
        <v>43696</v>
      </c>
      <c r="X8" s="21"/>
      <c r="Y8" s="54"/>
      <c r="Z8" s="54"/>
      <c r="AA8" s="21"/>
      <c r="AB8" s="19"/>
      <c r="AC8" s="12" t="s">
        <v>64</v>
      </c>
    </row>
    <row r="9" spans="1:30" s="85" customFormat="1" ht="176.45" customHeight="1" x14ac:dyDescent="0.25">
      <c r="A9" s="549">
        <v>1</v>
      </c>
      <c r="B9" s="552"/>
      <c r="C9" s="552" t="s">
        <v>161</v>
      </c>
      <c r="D9" s="552"/>
      <c r="E9" s="552" t="s">
        <v>162</v>
      </c>
      <c r="F9" s="552" t="s">
        <v>163</v>
      </c>
      <c r="G9" s="555">
        <v>624240</v>
      </c>
      <c r="H9" s="561">
        <f>IF(AD9 = 1, G9 - Q9,0)</f>
        <v>66540</v>
      </c>
      <c r="I9" s="555"/>
      <c r="J9" s="555"/>
      <c r="K9" s="552"/>
      <c r="L9" s="552"/>
      <c r="M9" s="552" t="s">
        <v>167</v>
      </c>
      <c r="N9" s="564" t="s">
        <v>168</v>
      </c>
      <c r="O9" s="567">
        <v>2308080429</v>
      </c>
      <c r="P9" s="552" t="s">
        <v>169</v>
      </c>
      <c r="Q9" s="555">
        <v>557700</v>
      </c>
      <c r="R9" s="561">
        <f>IF(AD9 = 1, Q9 + SUM(Y9:Y17) - SUM(Z9:Z17) - SUM(V9:V17) - AB9,0)</f>
        <v>0</v>
      </c>
      <c r="S9" s="552" t="s">
        <v>171</v>
      </c>
      <c r="T9" s="119" t="s">
        <v>165</v>
      </c>
      <c r="U9" s="552" t="s">
        <v>170</v>
      </c>
      <c r="V9" s="114">
        <v>52728</v>
      </c>
      <c r="W9" s="119" t="s">
        <v>172</v>
      </c>
      <c r="X9" s="113"/>
      <c r="Y9" s="114"/>
      <c r="Z9" s="114"/>
      <c r="AA9" s="552" t="s">
        <v>303</v>
      </c>
      <c r="AB9" s="555">
        <v>8112</v>
      </c>
      <c r="AC9" s="558"/>
      <c r="AD9" s="85">
        <v>1</v>
      </c>
    </row>
    <row r="10" spans="1:30" x14ac:dyDescent="0.25">
      <c r="A10" s="550"/>
      <c r="B10" s="553"/>
      <c r="C10" s="553"/>
      <c r="D10" s="553"/>
      <c r="E10" s="553"/>
      <c r="F10" s="553"/>
      <c r="G10" s="556"/>
      <c r="H10" s="562"/>
      <c r="I10" s="556"/>
      <c r="J10" s="556"/>
      <c r="K10" s="553"/>
      <c r="L10" s="553"/>
      <c r="M10" s="553"/>
      <c r="N10" s="565"/>
      <c r="O10" s="568"/>
      <c r="P10" s="553"/>
      <c r="Q10" s="556"/>
      <c r="R10" s="562"/>
      <c r="S10" s="553"/>
      <c r="T10" s="120" t="s">
        <v>173</v>
      </c>
      <c r="U10" s="553"/>
      <c r="V10" s="115">
        <v>62868</v>
      </c>
      <c r="W10" s="120" t="s">
        <v>175</v>
      </c>
      <c r="X10" s="116"/>
      <c r="Y10" s="115"/>
      <c r="Z10" s="115"/>
      <c r="AA10" s="553"/>
      <c r="AB10" s="556"/>
      <c r="AC10" s="559"/>
      <c r="AD10" s="2">
        <v>1</v>
      </c>
    </row>
    <row r="11" spans="1:30" x14ac:dyDescent="0.25">
      <c r="A11" s="550"/>
      <c r="B11" s="553"/>
      <c r="C11" s="553"/>
      <c r="D11" s="553"/>
      <c r="E11" s="553"/>
      <c r="F11" s="553"/>
      <c r="G11" s="556"/>
      <c r="H11" s="562"/>
      <c r="I11" s="556"/>
      <c r="J11" s="556"/>
      <c r="K11" s="553"/>
      <c r="L11" s="553"/>
      <c r="M11" s="553"/>
      <c r="N11" s="565"/>
      <c r="O11" s="568"/>
      <c r="P11" s="553"/>
      <c r="Q11" s="556"/>
      <c r="R11" s="562"/>
      <c r="S11" s="553"/>
      <c r="T11" s="120" t="s">
        <v>178</v>
      </c>
      <c r="U11" s="553"/>
      <c r="V11" s="115">
        <v>60840</v>
      </c>
      <c r="W11" s="120" t="s">
        <v>177</v>
      </c>
      <c r="X11" s="116"/>
      <c r="Y11" s="115"/>
      <c r="Z11" s="115"/>
      <c r="AA11" s="553"/>
      <c r="AB11" s="556"/>
      <c r="AC11" s="559"/>
      <c r="AD11" s="2">
        <v>1</v>
      </c>
    </row>
    <row r="12" spans="1:30" x14ac:dyDescent="0.25">
      <c r="A12" s="550"/>
      <c r="B12" s="553"/>
      <c r="C12" s="553"/>
      <c r="D12" s="553"/>
      <c r="E12" s="553"/>
      <c r="F12" s="553"/>
      <c r="G12" s="556"/>
      <c r="H12" s="562"/>
      <c r="I12" s="556"/>
      <c r="J12" s="556"/>
      <c r="K12" s="553"/>
      <c r="L12" s="553"/>
      <c r="M12" s="553"/>
      <c r="N12" s="565"/>
      <c r="O12" s="568"/>
      <c r="P12" s="553"/>
      <c r="Q12" s="556"/>
      <c r="R12" s="562"/>
      <c r="S12" s="553"/>
      <c r="T12" s="120" t="s">
        <v>179</v>
      </c>
      <c r="U12" s="553"/>
      <c r="V12" s="115">
        <v>62868</v>
      </c>
      <c r="W12" s="120" t="s">
        <v>180</v>
      </c>
      <c r="X12" s="116"/>
      <c r="Y12" s="115"/>
      <c r="Z12" s="115"/>
      <c r="AA12" s="553"/>
      <c r="AB12" s="556"/>
      <c r="AC12" s="559"/>
      <c r="AD12" s="2">
        <v>1</v>
      </c>
    </row>
    <row r="13" spans="1:30" x14ac:dyDescent="0.25">
      <c r="A13" s="550"/>
      <c r="B13" s="553"/>
      <c r="C13" s="553"/>
      <c r="D13" s="553"/>
      <c r="E13" s="553"/>
      <c r="F13" s="553"/>
      <c r="G13" s="556"/>
      <c r="H13" s="562"/>
      <c r="I13" s="556"/>
      <c r="J13" s="556"/>
      <c r="K13" s="553"/>
      <c r="L13" s="553"/>
      <c r="M13" s="553"/>
      <c r="N13" s="565"/>
      <c r="O13" s="568"/>
      <c r="P13" s="553"/>
      <c r="Q13" s="556"/>
      <c r="R13" s="562"/>
      <c r="S13" s="553"/>
      <c r="T13" s="120" t="s">
        <v>183</v>
      </c>
      <c r="U13" s="553"/>
      <c r="V13" s="115">
        <v>62868</v>
      </c>
      <c r="W13" s="120" t="s">
        <v>182</v>
      </c>
      <c r="X13" s="116"/>
      <c r="Y13" s="115"/>
      <c r="Z13" s="115"/>
      <c r="AA13" s="553"/>
      <c r="AB13" s="556"/>
      <c r="AC13" s="559"/>
      <c r="AD13" s="2">
        <v>1</v>
      </c>
    </row>
    <row r="14" spans="1:30" x14ac:dyDescent="0.25">
      <c r="A14" s="550"/>
      <c r="B14" s="553"/>
      <c r="C14" s="553"/>
      <c r="D14" s="553"/>
      <c r="E14" s="553"/>
      <c r="F14" s="553"/>
      <c r="G14" s="556"/>
      <c r="H14" s="562"/>
      <c r="I14" s="556"/>
      <c r="J14" s="556"/>
      <c r="K14" s="553"/>
      <c r="L14" s="553"/>
      <c r="M14" s="553"/>
      <c r="N14" s="565"/>
      <c r="O14" s="568"/>
      <c r="P14" s="553"/>
      <c r="Q14" s="556"/>
      <c r="R14" s="562"/>
      <c r="S14" s="553"/>
      <c r="T14" s="120" t="s">
        <v>187</v>
      </c>
      <c r="U14" s="553"/>
      <c r="V14" s="115">
        <v>60840</v>
      </c>
      <c r="W14" s="120" t="s">
        <v>188</v>
      </c>
      <c r="X14" s="116"/>
      <c r="Y14" s="115"/>
      <c r="Z14" s="115"/>
      <c r="AA14" s="553"/>
      <c r="AB14" s="556"/>
      <c r="AC14" s="559"/>
      <c r="AD14" s="2">
        <v>1</v>
      </c>
    </row>
    <row r="15" spans="1:30" x14ac:dyDescent="0.25">
      <c r="A15" s="550"/>
      <c r="B15" s="553"/>
      <c r="C15" s="553"/>
      <c r="D15" s="553"/>
      <c r="E15" s="553"/>
      <c r="F15" s="553"/>
      <c r="G15" s="556"/>
      <c r="H15" s="562"/>
      <c r="I15" s="556"/>
      <c r="J15" s="556"/>
      <c r="K15" s="553"/>
      <c r="L15" s="553"/>
      <c r="M15" s="553"/>
      <c r="N15" s="565"/>
      <c r="O15" s="568"/>
      <c r="P15" s="553"/>
      <c r="Q15" s="556"/>
      <c r="R15" s="562"/>
      <c r="S15" s="553"/>
      <c r="T15" s="120" t="s">
        <v>196</v>
      </c>
      <c r="U15" s="553"/>
      <c r="V15" s="115">
        <v>62868</v>
      </c>
      <c r="W15" s="120" t="s">
        <v>195</v>
      </c>
      <c r="X15" s="116"/>
      <c r="Y15" s="115"/>
      <c r="Z15" s="115"/>
      <c r="AA15" s="553"/>
      <c r="AB15" s="556"/>
      <c r="AC15" s="559"/>
      <c r="AD15" s="2">
        <v>1</v>
      </c>
    </row>
    <row r="16" spans="1:30" x14ac:dyDescent="0.25">
      <c r="A16" s="550"/>
      <c r="B16" s="553"/>
      <c r="C16" s="553"/>
      <c r="D16" s="553"/>
      <c r="E16" s="553"/>
      <c r="F16" s="553"/>
      <c r="G16" s="556"/>
      <c r="H16" s="562"/>
      <c r="I16" s="556"/>
      <c r="J16" s="556"/>
      <c r="K16" s="553"/>
      <c r="L16" s="553"/>
      <c r="M16" s="553"/>
      <c r="N16" s="565"/>
      <c r="O16" s="568"/>
      <c r="P16" s="553"/>
      <c r="Q16" s="556"/>
      <c r="R16" s="562"/>
      <c r="S16" s="553"/>
      <c r="T16" s="120" t="s">
        <v>202</v>
      </c>
      <c r="U16" s="553"/>
      <c r="V16" s="115">
        <v>60840</v>
      </c>
      <c r="W16" s="120" t="s">
        <v>201</v>
      </c>
      <c r="X16" s="116"/>
      <c r="Y16" s="115"/>
      <c r="Z16" s="115"/>
      <c r="AA16" s="553"/>
      <c r="AB16" s="556"/>
      <c r="AC16" s="559"/>
      <c r="AD16" s="2">
        <v>1</v>
      </c>
    </row>
    <row r="17" spans="1:30" x14ac:dyDescent="0.25">
      <c r="A17" s="551"/>
      <c r="B17" s="554"/>
      <c r="C17" s="554"/>
      <c r="D17" s="554"/>
      <c r="E17" s="554"/>
      <c r="F17" s="554"/>
      <c r="G17" s="557"/>
      <c r="H17" s="563"/>
      <c r="I17" s="557"/>
      <c r="J17" s="557"/>
      <c r="K17" s="554"/>
      <c r="L17" s="554"/>
      <c r="M17" s="554"/>
      <c r="N17" s="566"/>
      <c r="O17" s="569"/>
      <c r="P17" s="554"/>
      <c r="Q17" s="557"/>
      <c r="R17" s="563"/>
      <c r="S17" s="554"/>
      <c r="T17" s="121" t="s">
        <v>262</v>
      </c>
      <c r="U17" s="554"/>
      <c r="V17" s="117">
        <v>62868</v>
      </c>
      <c r="W17" s="121" t="s">
        <v>261</v>
      </c>
      <c r="X17" s="118"/>
      <c r="Y17" s="117"/>
      <c r="Z17" s="117"/>
      <c r="AA17" s="554"/>
      <c r="AB17" s="557"/>
      <c r="AC17" s="560"/>
      <c r="AD17" s="2">
        <v>1</v>
      </c>
    </row>
    <row r="18" spans="1:30" s="85" customFormat="1" ht="72" customHeight="1" x14ac:dyDescent="0.25">
      <c r="A18" s="570">
        <v>2</v>
      </c>
      <c r="B18" s="573"/>
      <c r="C18" s="573" t="s">
        <v>205</v>
      </c>
      <c r="D18" s="573"/>
      <c r="E18" s="573" t="s">
        <v>206</v>
      </c>
      <c r="F18" s="573" t="s">
        <v>163</v>
      </c>
      <c r="G18" s="576">
        <v>742848</v>
      </c>
      <c r="H18" s="582">
        <f>IF(AD18 = 3, G18 - Q18,0)</f>
        <v>59427.839999999967</v>
      </c>
      <c r="I18" s="576"/>
      <c r="J18" s="576"/>
      <c r="K18" s="573"/>
      <c r="L18" s="573"/>
      <c r="M18" s="573" t="s">
        <v>206</v>
      </c>
      <c r="N18" s="585" t="s">
        <v>200</v>
      </c>
      <c r="O18" s="588">
        <v>2304067057</v>
      </c>
      <c r="P18" s="573" t="s">
        <v>207</v>
      </c>
      <c r="Q18" s="576">
        <v>683420.16000000003</v>
      </c>
      <c r="R18" s="582">
        <f>IF(AD18 = 3, Q18 + SUM(Y18:Y23) - SUM(Z18:Z23) - SUM(V18:V23) - AB18,0)</f>
        <v>259793.28000000003</v>
      </c>
      <c r="S18" s="573" t="s">
        <v>208</v>
      </c>
      <c r="T18" s="269" t="s">
        <v>307</v>
      </c>
      <c r="U18" s="573" t="s">
        <v>209</v>
      </c>
      <c r="V18" s="264">
        <v>72554.880000000005</v>
      </c>
      <c r="W18" s="269" t="s">
        <v>313</v>
      </c>
      <c r="X18" s="263"/>
      <c r="Y18" s="264"/>
      <c r="Z18" s="264"/>
      <c r="AA18" s="573"/>
      <c r="AB18" s="576"/>
      <c r="AC18" s="579"/>
      <c r="AD18" s="85">
        <v>3</v>
      </c>
    </row>
    <row r="19" spans="1:30" x14ac:dyDescent="0.25">
      <c r="A19" s="571"/>
      <c r="B19" s="574"/>
      <c r="C19" s="574"/>
      <c r="D19" s="574"/>
      <c r="E19" s="574"/>
      <c r="F19" s="574"/>
      <c r="G19" s="577"/>
      <c r="H19" s="583"/>
      <c r="I19" s="577"/>
      <c r="J19" s="577"/>
      <c r="K19" s="574"/>
      <c r="L19" s="574"/>
      <c r="M19" s="574"/>
      <c r="N19" s="586"/>
      <c r="O19" s="589"/>
      <c r="P19" s="574"/>
      <c r="Q19" s="577"/>
      <c r="R19" s="583"/>
      <c r="S19" s="574"/>
      <c r="T19" s="270" t="s">
        <v>346</v>
      </c>
      <c r="U19" s="574"/>
      <c r="V19" s="265">
        <v>65533.440000000002</v>
      </c>
      <c r="W19" s="270" t="s">
        <v>349</v>
      </c>
      <c r="X19" s="266"/>
      <c r="Y19" s="265"/>
      <c r="Z19" s="265"/>
      <c r="AA19" s="574"/>
      <c r="AB19" s="577"/>
      <c r="AC19" s="580"/>
      <c r="AD19" s="2">
        <v>3</v>
      </c>
    </row>
    <row r="20" spans="1:30" x14ac:dyDescent="0.25">
      <c r="A20" s="571"/>
      <c r="B20" s="574"/>
      <c r="C20" s="574"/>
      <c r="D20" s="574"/>
      <c r="E20" s="574"/>
      <c r="F20" s="574"/>
      <c r="G20" s="577"/>
      <c r="H20" s="583"/>
      <c r="I20" s="577"/>
      <c r="J20" s="577"/>
      <c r="K20" s="574"/>
      <c r="L20" s="574"/>
      <c r="M20" s="574"/>
      <c r="N20" s="586"/>
      <c r="O20" s="589"/>
      <c r="P20" s="574"/>
      <c r="Q20" s="577"/>
      <c r="R20" s="583"/>
      <c r="S20" s="574"/>
      <c r="T20" s="270" t="s">
        <v>377</v>
      </c>
      <c r="U20" s="574"/>
      <c r="V20" s="265">
        <v>72554.880000000005</v>
      </c>
      <c r="W20" s="270" t="s">
        <v>376</v>
      </c>
      <c r="X20" s="266"/>
      <c r="Y20" s="265"/>
      <c r="Z20" s="265"/>
      <c r="AA20" s="574"/>
      <c r="AB20" s="577"/>
      <c r="AC20" s="580"/>
      <c r="AD20" s="2">
        <v>3</v>
      </c>
    </row>
    <row r="21" spans="1:30" x14ac:dyDescent="0.25">
      <c r="A21" s="571"/>
      <c r="B21" s="574"/>
      <c r="C21" s="574"/>
      <c r="D21" s="574"/>
      <c r="E21" s="574"/>
      <c r="F21" s="574"/>
      <c r="G21" s="577"/>
      <c r="H21" s="583"/>
      <c r="I21" s="577"/>
      <c r="J21" s="577"/>
      <c r="K21" s="574"/>
      <c r="L21" s="574"/>
      <c r="M21" s="574"/>
      <c r="N21" s="586"/>
      <c r="O21" s="589"/>
      <c r="P21" s="574"/>
      <c r="Q21" s="577"/>
      <c r="R21" s="583"/>
      <c r="S21" s="574"/>
      <c r="T21" s="270" t="s">
        <v>455</v>
      </c>
      <c r="U21" s="574"/>
      <c r="V21" s="265">
        <v>70214.399999999994</v>
      </c>
      <c r="W21" s="270" t="s">
        <v>468</v>
      </c>
      <c r="X21" s="266"/>
      <c r="Y21" s="265"/>
      <c r="Z21" s="265"/>
      <c r="AA21" s="574"/>
      <c r="AB21" s="577"/>
      <c r="AC21" s="580"/>
      <c r="AD21" s="2">
        <v>3</v>
      </c>
    </row>
    <row r="22" spans="1:30" x14ac:dyDescent="0.25">
      <c r="A22" s="571"/>
      <c r="B22" s="574"/>
      <c r="C22" s="574"/>
      <c r="D22" s="574"/>
      <c r="E22" s="574"/>
      <c r="F22" s="574"/>
      <c r="G22" s="577"/>
      <c r="H22" s="583"/>
      <c r="I22" s="577"/>
      <c r="J22" s="577"/>
      <c r="K22" s="574"/>
      <c r="L22" s="574"/>
      <c r="M22" s="574"/>
      <c r="N22" s="586"/>
      <c r="O22" s="589"/>
      <c r="P22" s="574"/>
      <c r="Q22" s="577"/>
      <c r="R22" s="583"/>
      <c r="S22" s="574"/>
      <c r="T22" s="270" t="s">
        <v>507</v>
      </c>
      <c r="U22" s="574"/>
      <c r="V22" s="265">
        <v>72554.880000000005</v>
      </c>
      <c r="W22" s="270" t="s">
        <v>509</v>
      </c>
      <c r="X22" s="266"/>
      <c r="Y22" s="265"/>
      <c r="Z22" s="265"/>
      <c r="AA22" s="574"/>
      <c r="AB22" s="577"/>
      <c r="AC22" s="580"/>
      <c r="AD22" s="2">
        <v>3</v>
      </c>
    </row>
    <row r="23" spans="1:30" x14ac:dyDescent="0.25">
      <c r="A23" s="572"/>
      <c r="B23" s="575"/>
      <c r="C23" s="575"/>
      <c r="D23" s="575"/>
      <c r="E23" s="575"/>
      <c r="F23" s="575"/>
      <c r="G23" s="578"/>
      <c r="H23" s="584"/>
      <c r="I23" s="578"/>
      <c r="J23" s="578"/>
      <c r="K23" s="575"/>
      <c r="L23" s="575"/>
      <c r="M23" s="575"/>
      <c r="N23" s="587"/>
      <c r="O23" s="590"/>
      <c r="P23" s="575"/>
      <c r="Q23" s="578"/>
      <c r="R23" s="584"/>
      <c r="S23" s="575"/>
      <c r="T23" s="271" t="s">
        <v>559</v>
      </c>
      <c r="U23" s="575"/>
      <c r="V23" s="267">
        <v>70214.399999999994</v>
      </c>
      <c r="W23" s="271" t="s">
        <v>564</v>
      </c>
      <c r="X23" s="268"/>
      <c r="Y23" s="267"/>
      <c r="Z23" s="267"/>
      <c r="AA23" s="575"/>
      <c r="AB23" s="578"/>
      <c r="AC23" s="581"/>
      <c r="AD23" s="2">
        <v>3</v>
      </c>
    </row>
    <row r="24" spans="1:30" ht="18" x14ac:dyDescent="0.3">
      <c r="M24" s="3"/>
      <c r="AD24" s="2">
        <v>4</v>
      </c>
    </row>
    <row r="25" spans="1:30" ht="18" x14ac:dyDescent="0.3">
      <c r="M25" s="3"/>
    </row>
    <row r="26" spans="1:30" ht="18" x14ac:dyDescent="0.3">
      <c r="M26" s="3"/>
    </row>
    <row r="27" spans="1:30" ht="18" x14ac:dyDescent="0.3">
      <c r="M27" s="3"/>
    </row>
    <row r="28" spans="1:30" ht="18" x14ac:dyDescent="0.3">
      <c r="M28" s="3"/>
    </row>
    <row r="29" spans="1:30" ht="18" x14ac:dyDescent="0.3">
      <c r="M29" s="3"/>
    </row>
    <row r="30" spans="1:30" ht="18" x14ac:dyDescent="0.3">
      <c r="M30" s="3"/>
    </row>
    <row r="31" spans="1:30" ht="18" x14ac:dyDescent="0.3">
      <c r="M31" s="3"/>
    </row>
    <row r="32" spans="1:30" ht="18" x14ac:dyDescent="0.3">
      <c r="M32" s="3"/>
    </row>
  </sheetData>
  <sheetProtection algorithmName="SHA-512" hashValue="GNkIbY2lvoVmnAkO07V4yy9aCBE3dXa7lqSqolmudmWz46tBovunlC3i8RJjvO0XIEvkMzMISDOaApQEZcYl2g==" saltValue="HIx+RqjBZykAad7aooHvdA==" spinCount="100000" sheet="1" objects="1" scenarios="1" formatCells="0" formatColumns="0" formatRows="0"/>
  <mergeCells count="51">
    <mergeCell ref="AC18:AC23"/>
    <mergeCell ref="D18:D23"/>
    <mergeCell ref="E18:E23"/>
    <mergeCell ref="F18:F23"/>
    <mergeCell ref="G18:G23"/>
    <mergeCell ref="H18:H23"/>
    <mergeCell ref="I18:I23"/>
    <mergeCell ref="J18:J23"/>
    <mergeCell ref="K18:K23"/>
    <mergeCell ref="L18:L23"/>
    <mergeCell ref="M18:M23"/>
    <mergeCell ref="N18:N23"/>
    <mergeCell ref="O18:O23"/>
    <mergeCell ref="P18:P23"/>
    <mergeCell ref="Q18:Q23"/>
    <mergeCell ref="R18:R23"/>
    <mergeCell ref="A18:A23"/>
    <mergeCell ref="U18:U23"/>
    <mergeCell ref="AA18:AA23"/>
    <mergeCell ref="B18:B23"/>
    <mergeCell ref="AB18:AB23"/>
    <mergeCell ref="C18:C23"/>
    <mergeCell ref="S18:S23"/>
    <mergeCell ref="AC9:AC17"/>
    <mergeCell ref="D9:D17"/>
    <mergeCell ref="E9:E17"/>
    <mergeCell ref="F9:F17"/>
    <mergeCell ref="G9:G17"/>
    <mergeCell ref="H9:H17"/>
    <mergeCell ref="I9:I17"/>
    <mergeCell ref="J9:J17"/>
    <mergeCell ref="K9:K17"/>
    <mergeCell ref="L9:L17"/>
    <mergeCell ref="M9:M17"/>
    <mergeCell ref="N9:N17"/>
    <mergeCell ref="O9:O17"/>
    <mergeCell ref="P9:P17"/>
    <mergeCell ref="Q9:Q17"/>
    <mergeCell ref="R9:R17"/>
    <mergeCell ref="P4:R4"/>
    <mergeCell ref="E2:F2"/>
    <mergeCell ref="O2:P2"/>
    <mergeCell ref="Y2:AA2"/>
    <mergeCell ref="T2:U2"/>
    <mergeCell ref="A9:A17"/>
    <mergeCell ref="U9:U17"/>
    <mergeCell ref="AA9:AA17"/>
    <mergeCell ref="B9:B17"/>
    <mergeCell ref="AB9:AB17"/>
    <mergeCell ref="C9:C17"/>
    <mergeCell ref="S9:S17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3" tint="0.39997558519241921"/>
  </sheetPr>
  <dimension ref="A1:K83"/>
  <sheetViews>
    <sheetView workbookViewId="0">
      <selection activeCell="F20" sqref="F20"/>
    </sheetView>
  </sheetViews>
  <sheetFormatPr defaultColWidth="9.140625" defaultRowHeight="15.75" x14ac:dyDescent="0.25"/>
  <cols>
    <col min="1" max="1" width="15.28515625" style="33" customWidth="1"/>
    <col min="2" max="2" width="17.42578125" style="33" customWidth="1"/>
    <col min="3" max="3" width="17.28515625" style="33" customWidth="1"/>
    <col min="4" max="4" width="38.85546875" style="33" customWidth="1"/>
    <col min="5" max="5" width="15.5703125" style="33" bestFit="1" customWidth="1"/>
    <col min="6" max="11" width="16.140625" style="33" customWidth="1"/>
    <col min="12" max="16384" width="9.140625" style="33"/>
  </cols>
  <sheetData>
    <row r="1" spans="1:11" x14ac:dyDescent="0.25">
      <c r="A1" s="47">
        <v>96</v>
      </c>
      <c r="B1" s="47">
        <v>32</v>
      </c>
      <c r="C1" s="47">
        <v>9</v>
      </c>
      <c r="D1" s="593" t="s">
        <v>50</v>
      </c>
      <c r="E1" s="32"/>
      <c r="F1" s="62" t="s">
        <v>108</v>
      </c>
      <c r="G1" s="66" t="s">
        <v>108</v>
      </c>
      <c r="H1" s="65" t="s">
        <v>108</v>
      </c>
      <c r="I1" s="64" t="s">
        <v>108</v>
      </c>
      <c r="J1" s="63" t="s">
        <v>108</v>
      </c>
      <c r="K1" s="67" t="s">
        <v>108</v>
      </c>
    </row>
    <row r="2" spans="1:11" x14ac:dyDescent="0.25">
      <c r="A2" s="48" t="s">
        <v>84</v>
      </c>
      <c r="B2" s="47" t="s">
        <v>85</v>
      </c>
      <c r="C2" s="47" t="s">
        <v>86</v>
      </c>
      <c r="D2" s="594"/>
      <c r="E2" s="32"/>
      <c r="F2" s="62">
        <v>80</v>
      </c>
      <c r="G2" s="66">
        <v>84</v>
      </c>
      <c r="H2" s="65">
        <v>5</v>
      </c>
      <c r="I2" s="64">
        <v>0</v>
      </c>
      <c r="J2" s="63">
        <v>0</v>
      </c>
      <c r="K2" s="67">
        <v>3</v>
      </c>
    </row>
    <row r="3" spans="1:11" ht="15.6" x14ac:dyDescent="0.3">
      <c r="A3" s="34"/>
      <c r="B3" s="32"/>
      <c r="C3" s="32"/>
      <c r="D3" s="32"/>
      <c r="E3" s="32"/>
      <c r="F3" s="62" t="s">
        <v>109</v>
      </c>
      <c r="G3" s="66" t="s">
        <v>109</v>
      </c>
      <c r="H3" s="65" t="s">
        <v>109</v>
      </c>
      <c r="I3" s="64" t="s">
        <v>109</v>
      </c>
      <c r="J3" s="63" t="s">
        <v>109</v>
      </c>
      <c r="K3" s="67" t="s">
        <v>109</v>
      </c>
    </row>
    <row r="4" spans="1:11" x14ac:dyDescent="0.25">
      <c r="A4" s="43">
        <v>154</v>
      </c>
      <c r="B4" s="44">
        <v>31</v>
      </c>
      <c r="C4" s="44">
        <v>9</v>
      </c>
      <c r="D4" s="595" t="s">
        <v>102</v>
      </c>
      <c r="E4" s="32"/>
      <c r="F4" s="62">
        <v>81</v>
      </c>
      <c r="G4" s="66">
        <v>85</v>
      </c>
      <c r="H4" s="65">
        <v>6</v>
      </c>
      <c r="I4" s="64">
        <v>0</v>
      </c>
      <c r="J4" s="63">
        <v>0</v>
      </c>
      <c r="K4" s="67">
        <v>4</v>
      </c>
    </row>
    <row r="5" spans="1:11" x14ac:dyDescent="0.25">
      <c r="A5" s="43" t="s">
        <v>89</v>
      </c>
      <c r="B5" s="44" t="s">
        <v>88</v>
      </c>
      <c r="C5" s="44" t="s">
        <v>87</v>
      </c>
      <c r="D5" s="596"/>
      <c r="E5" s="32"/>
      <c r="F5" s="32"/>
      <c r="G5" s="32"/>
    </row>
    <row r="6" spans="1:11" ht="15.6" x14ac:dyDescent="0.3">
      <c r="A6" s="34"/>
      <c r="B6" s="32"/>
      <c r="C6" s="32"/>
      <c r="D6" s="32"/>
      <c r="E6" s="32"/>
      <c r="F6" s="32"/>
      <c r="G6" s="32"/>
    </row>
    <row r="7" spans="1:11" x14ac:dyDescent="0.25">
      <c r="A7" s="45">
        <v>14</v>
      </c>
      <c r="B7" s="46">
        <v>2</v>
      </c>
      <c r="C7" s="46">
        <v>9</v>
      </c>
      <c r="D7" s="597" t="s">
        <v>52</v>
      </c>
      <c r="E7" s="32"/>
      <c r="F7" s="32"/>
      <c r="G7" s="32"/>
    </row>
    <row r="8" spans="1:11" x14ac:dyDescent="0.25">
      <c r="A8" s="45" t="s">
        <v>90</v>
      </c>
      <c r="B8" s="46" t="s">
        <v>91</v>
      </c>
      <c r="C8" s="46" t="s">
        <v>92</v>
      </c>
      <c r="D8" s="598"/>
      <c r="E8" s="32"/>
      <c r="F8" s="32"/>
      <c r="G8" s="32"/>
    </row>
    <row r="9" spans="1:11" ht="15.6" x14ac:dyDescent="0.3">
      <c r="A9" s="34"/>
      <c r="B9" s="32"/>
      <c r="C9" s="32"/>
      <c r="D9" s="32"/>
      <c r="E9" s="32"/>
      <c r="F9" s="32"/>
      <c r="G9" s="32"/>
    </row>
    <row r="10" spans="1:11" x14ac:dyDescent="0.25">
      <c r="A10" s="41">
        <v>8</v>
      </c>
      <c r="B10" s="42">
        <v>0</v>
      </c>
      <c r="C10" s="42">
        <v>9</v>
      </c>
      <c r="D10" s="599" t="s">
        <v>31</v>
      </c>
      <c r="E10" s="32"/>
      <c r="F10" s="32"/>
      <c r="G10" s="32"/>
    </row>
    <row r="11" spans="1:11" x14ac:dyDescent="0.25">
      <c r="A11" s="41" t="s">
        <v>93</v>
      </c>
      <c r="B11" s="42" t="s">
        <v>94</v>
      </c>
      <c r="C11" s="42" t="s">
        <v>95</v>
      </c>
      <c r="D11" s="600"/>
      <c r="E11" s="32"/>
      <c r="F11" s="32"/>
      <c r="G11" s="32"/>
    </row>
    <row r="12" spans="1:11" ht="15.6" x14ac:dyDescent="0.3">
      <c r="A12" s="34"/>
      <c r="B12" s="32"/>
      <c r="C12" s="32"/>
      <c r="D12" s="32"/>
      <c r="E12" s="32"/>
      <c r="F12" s="32"/>
      <c r="G12" s="32"/>
    </row>
    <row r="13" spans="1:11" x14ac:dyDescent="0.25">
      <c r="A13" s="39">
        <v>8</v>
      </c>
      <c r="B13" s="40">
        <v>0</v>
      </c>
      <c r="C13" s="40">
        <v>9</v>
      </c>
      <c r="D13" s="601" t="s">
        <v>49</v>
      </c>
      <c r="E13" s="32"/>
      <c r="F13" s="32"/>
      <c r="G13" s="32"/>
    </row>
    <row r="14" spans="1:11" x14ac:dyDescent="0.25">
      <c r="A14" s="39" t="s">
        <v>96</v>
      </c>
      <c r="B14" s="40" t="s">
        <v>97</v>
      </c>
      <c r="C14" s="40" t="s">
        <v>98</v>
      </c>
      <c r="D14" s="602"/>
      <c r="E14" s="32"/>
      <c r="F14" s="32"/>
      <c r="G14" s="32"/>
    </row>
    <row r="15" spans="1:11" ht="15.6" x14ac:dyDescent="0.3">
      <c r="A15" s="34"/>
      <c r="B15" s="32"/>
      <c r="C15" s="32"/>
      <c r="D15" s="32"/>
      <c r="E15" s="32"/>
      <c r="F15" s="32"/>
      <c r="G15" s="32"/>
    </row>
    <row r="16" spans="1:11" x14ac:dyDescent="0.25">
      <c r="A16" s="37">
        <v>23</v>
      </c>
      <c r="B16" s="38">
        <v>2</v>
      </c>
      <c r="C16" s="38">
        <v>9</v>
      </c>
      <c r="D16" s="591" t="s">
        <v>83</v>
      </c>
      <c r="E16" s="32"/>
      <c r="F16" s="32"/>
      <c r="G16" s="32"/>
    </row>
    <row r="17" spans="1:4" x14ac:dyDescent="0.25">
      <c r="A17" s="37" t="s">
        <v>99</v>
      </c>
      <c r="B17" s="38" t="s">
        <v>100</v>
      </c>
      <c r="C17" s="38" t="s">
        <v>101</v>
      </c>
      <c r="D17" s="592"/>
    </row>
    <row r="18" spans="1:4" ht="15.6" x14ac:dyDescent="0.3">
      <c r="A18" s="34"/>
    </row>
    <row r="19" spans="1:4" ht="15.6" x14ac:dyDescent="0.3">
      <c r="A19" s="34"/>
    </row>
    <row r="20" spans="1:4" ht="15.6" x14ac:dyDescent="0.3">
      <c r="A20" s="34"/>
    </row>
    <row r="21" spans="1:4" ht="15.6" x14ac:dyDescent="0.3">
      <c r="A21" s="34"/>
    </row>
    <row r="22" spans="1:4" ht="15.6" x14ac:dyDescent="0.3">
      <c r="A22" s="34"/>
    </row>
    <row r="23" spans="1:4" ht="15.6" x14ac:dyDescent="0.3">
      <c r="A23" s="34"/>
    </row>
    <row r="24" spans="1:4" ht="15.6" x14ac:dyDescent="0.3">
      <c r="A24" s="34"/>
    </row>
    <row r="25" spans="1:4" ht="15.6" x14ac:dyDescent="0.3">
      <c r="A25" s="34"/>
    </row>
    <row r="26" spans="1:4" ht="15.6" x14ac:dyDescent="0.3">
      <c r="A26" s="34"/>
    </row>
    <row r="27" spans="1:4" ht="15.6" x14ac:dyDescent="0.3">
      <c r="A27" s="34"/>
    </row>
    <row r="28" spans="1:4" ht="15.6" x14ac:dyDescent="0.3">
      <c r="A28" s="34"/>
    </row>
    <row r="29" spans="1:4" ht="15.6" x14ac:dyDescent="0.3">
      <c r="A29" s="34"/>
    </row>
    <row r="30" spans="1:4" ht="15.6" x14ac:dyDescent="0.3">
      <c r="A30" s="34"/>
    </row>
    <row r="31" spans="1:4" ht="15.6" x14ac:dyDescent="0.3">
      <c r="A31" s="34"/>
    </row>
    <row r="32" spans="1:4" ht="15.6" x14ac:dyDescent="0.3">
      <c r="A32" s="34"/>
    </row>
    <row r="33" spans="1:1" ht="15.6" x14ac:dyDescent="0.3">
      <c r="A33" s="34"/>
    </row>
    <row r="34" spans="1:1" ht="15.6" x14ac:dyDescent="0.3">
      <c r="A34" s="34"/>
    </row>
    <row r="35" spans="1:1" x14ac:dyDescent="0.25">
      <c r="A35" s="34"/>
    </row>
    <row r="36" spans="1:1" x14ac:dyDescent="0.25">
      <c r="A36" s="34"/>
    </row>
    <row r="37" spans="1:1" x14ac:dyDescent="0.25">
      <c r="A37" s="34"/>
    </row>
    <row r="38" spans="1:1" x14ac:dyDescent="0.25">
      <c r="A38" s="34"/>
    </row>
    <row r="39" spans="1:1" x14ac:dyDescent="0.25">
      <c r="A39" s="34"/>
    </row>
    <row r="40" spans="1:1" x14ac:dyDescent="0.25">
      <c r="A40" s="34"/>
    </row>
    <row r="41" spans="1:1" x14ac:dyDescent="0.25">
      <c r="A41" s="34"/>
    </row>
    <row r="42" spans="1:1" x14ac:dyDescent="0.25">
      <c r="A42" s="34"/>
    </row>
    <row r="43" spans="1:1" x14ac:dyDescent="0.25">
      <c r="A43" s="34"/>
    </row>
    <row r="44" spans="1:1" x14ac:dyDescent="0.25">
      <c r="A44" s="34"/>
    </row>
    <row r="45" spans="1:1" x14ac:dyDescent="0.25">
      <c r="A45" s="34"/>
    </row>
    <row r="81" spans="1:1" x14ac:dyDescent="0.25">
      <c r="A81" s="35"/>
    </row>
    <row r="82" spans="1:1" x14ac:dyDescent="0.25">
      <c r="A82" s="35"/>
    </row>
    <row r="83" spans="1:1" x14ac:dyDescent="0.25">
      <c r="A83" s="36"/>
    </row>
  </sheetData>
  <mergeCells count="6">
    <mergeCell ref="D16:D17"/>
    <mergeCell ref="D1:D2"/>
    <mergeCell ref="D4:D5"/>
    <mergeCell ref="D7:D8"/>
    <mergeCell ref="D10:D11"/>
    <mergeCell ref="D13:D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Общая информация</vt:lpstr>
      <vt:lpstr>Ед. поставщик п.4 ч.1</vt:lpstr>
      <vt:lpstr>Ед. поставщик п.5 ч.1</vt:lpstr>
      <vt:lpstr>Ед.поставщик за искл. п.4,5 ч.1</vt:lpstr>
      <vt:lpstr>Состоявшиеся аукционы</vt:lpstr>
      <vt:lpstr>Несостоявшиеся аукционы</vt:lpstr>
      <vt:lpstr>Иные конкурентные закупки</vt:lpstr>
      <vt:lpstr>Настройки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Компьютер № 3</dc:creator>
  <cp:lastModifiedBy>Костя</cp:lastModifiedBy>
  <cp:lastPrinted>2023-02-21T06:18:24Z</cp:lastPrinted>
  <dcterms:created xsi:type="dcterms:W3CDTF">2017-01-25T04:28:39Z</dcterms:created>
  <dcterms:modified xsi:type="dcterms:W3CDTF">2023-08-02T10:41:34Z</dcterms:modified>
</cp:coreProperties>
</file>