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10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9"/>
  <c r="N2" i="19"/>
  <c r="T2" i="19"/>
  <c r="G2" i="17"/>
  <c r="Q2" i="17"/>
  <c r="V2" i="17"/>
  <c r="AB2" i="17"/>
  <c r="H9" i="22"/>
  <c r="R9" i="22"/>
  <c r="I33" i="27" l="1"/>
  <c r="I32" i="27"/>
  <c r="I31" i="27"/>
  <c r="I30" i="27"/>
  <c r="I29" i="27"/>
  <c r="I28" i="27"/>
  <c r="I27" i="27"/>
  <c r="I95" i="31"/>
  <c r="I93" i="31"/>
  <c r="I21" i="31"/>
  <c r="I90" i="31"/>
  <c r="I34" i="31"/>
  <c r="I30" i="31"/>
  <c r="I25" i="31"/>
  <c r="I46" i="31"/>
  <c r="I38" i="31"/>
  <c r="I42" i="31"/>
  <c r="I23" i="27"/>
  <c r="I9" i="31" l="1"/>
  <c r="H9" i="19" l="1"/>
  <c r="G2" i="22" l="1"/>
  <c r="Q2" i="22"/>
  <c r="V2" i="22"/>
  <c r="AB2" i="22"/>
  <c r="H9" i="17"/>
  <c r="R9" i="17"/>
  <c r="H13" i="19" l="1"/>
  <c r="G2" i="20" l="1"/>
  <c r="Q2" i="20"/>
  <c r="V2" i="20"/>
  <c r="AB2" i="20"/>
  <c r="I92" i="31"/>
  <c r="I22" i="27" l="1"/>
  <c r="I21" i="27"/>
  <c r="I20" i="27"/>
  <c r="I19" i="27"/>
  <c r="I18" i="27"/>
  <c r="I77" i="31" l="1"/>
  <c r="I53" i="31" l="1"/>
  <c r="I50" i="31" l="1"/>
  <c r="I89" i="31" l="1"/>
  <c r="I88" i="31"/>
  <c r="I87" i="31"/>
  <c r="I86" i="31"/>
  <c r="I85" i="31"/>
  <c r="I83" i="31"/>
  <c r="I11" i="27"/>
  <c r="I17" i="27" l="1"/>
  <c r="I16" i="27"/>
  <c r="I15" i="27"/>
  <c r="I82" i="31"/>
  <c r="I80" i="31"/>
  <c r="I13" i="27"/>
  <c r="I9" i="27"/>
  <c r="H13" i="17" l="1"/>
  <c r="R13" i="17"/>
  <c r="I29" i="31" l="1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<sst xmlns="http://schemas.openxmlformats.org/spreadsheetml/2006/main" count="1097" uniqueCount="405">
  <si>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</si>
  <si>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</si>
  <si>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</si>
  <si>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</si>
  <si>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</si>
  <si>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</si>
  <si>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</si>
  <si>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</si>
  <si>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</si>
  <si>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</si>
  <si>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</si>
  <si>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</si>
  <si>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</si>
  <si>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</si>
  <si>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</si>
  <si>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</si>
  <si>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</si>
  <si>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</si>
  <si>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</si>
  <si>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</si>
  <si>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</si>
  <si>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</si>
  <si>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</si>
  <si>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</si>
  <si>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</si>
  <si>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</si>
  <si>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</si>
  <si>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</si>
  <si>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</si>
  <si>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</si>
  <si>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</si>
  <si>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</si>
  <si>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</si>
  <si>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</si>
  <si>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</si>
  <si>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</si>
  <si>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</si>
  <si>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</si>
  <si>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</si>
  <si>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</si>
  <si>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</si>
  <si>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</si>
  <si>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</si>
  <si>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</si>
  <si>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</si>
  <si>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</si>
  <si>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</si>
  <si>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</si>
  <si>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</si>
  <si>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</si>
  <si>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</si>
  <si>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</si>
  <si>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</si>
  <si>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</si>
  <si>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</si>
  <si>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</si>
  <si>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</si>
  <si>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</si>
  <si>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</si>
  <si>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</si>
  <si>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</si>
  <si>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</si>
  <si>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</si>
  <si>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</si>
  <si>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</si>
  <si>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</si>
  <si>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</si>
  <si>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</si>
  <si>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</si>
  <si>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</si>
  <si>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</si>
  <si>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</si>
  <si>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</si>
  <si>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</si>
  <si>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</si>
  <si>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</si>
  <si>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</si>
  <si>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</si>
  <si>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</si>
  <si>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</si>
  <si>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</si>
  <si>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</si>
  <si>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</si>
  <si>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</si>
  <si>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</si>
  <si>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</si>
  <si>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</si>
  <si>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</si>
  <si>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</si>
  <si>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</si>
  <si>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</si>
  <si>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</si>
  <si>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</si>
  <si>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</si>
  <si>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</si>
  <si>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</si>
  <si>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</si>
  <si>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</si>
  <si>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</si>
  <si>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</si>
  <si>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</si>
  <si>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</si>
  <si>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</si>
  <si>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</si>
  <si>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</si>
  <si>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</si>
  <si>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</si>
  <si>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</si>
  <si>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</si>
  <si>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</si>
  <si>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</si>
  <si>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</si>
  <si>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</si>
  <si>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</si>
  <si>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</si>
  <si>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</si>
  <si>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</si>
  <si>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</si>
  <si>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</si>
  <si>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</si>
  <si>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</si>
  <si>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</si>
  <si>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</si>
  <si>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</si>
  <si>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</si>
  <si>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</si>
  <si>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</si>
  <si>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</si>
  <si>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</si>
  <si>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</si>
  <si>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</si>
  <si>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</si>
  <si>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</si>
  <si>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</si>
  <si>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</si>
  <si>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</si>
  <si>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</si>
  <si>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</si>
  <si>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</si>
  <si>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</si>
  <si>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</si>
  <si>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</si>
  <si>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</si>
  <si>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</si>
  <si>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</si>
  <si>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</si>
  <si>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</si>
  <si>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</si>
  <si>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</si>
  <si>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</si>
  <si>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</si>
  <si>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</si>
  <si>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</si>
  <si>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</si>
  <si>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</si>
  <si>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</si>
  <si>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</si>
  <si>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</si>
  <si>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</si>
  <si>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</si>
  <si>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</si>
  <si>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</si>
  <si>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</si>
  <si>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</si>
  <si>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</si>
  <si>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</si>
  <si>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</si>
  <si>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</si>
  <si>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</si>
  <si>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</si>
  <si>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</si>
  <si>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</si>
  <si>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</si>
  <si>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</si>
  <si>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</si>
  <si>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</si>
  <si>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</si>
  <si>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</si>
  <si>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</si>
  <si>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</si>
  <si>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</si>
  <si>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</si>
  <si>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</si>
  <si>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</si>
  <si>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</si>
  <si>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</si>
  <si>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</si>
  <si>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</si>
  <si>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</si>
  <si>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</si>
  <si>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</si>
  <si>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</si>
  <si>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</si>
  <si>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</si>
  <si>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</si>
  <si>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</si>
  <si>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</si>
  <si>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</si>
  <si>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</si>
  <si>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</si>
  <si>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</si>
  <si>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</si>
  <si>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</si>
  <si>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</si>
  <si>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</si>
  <si>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</si>
  <si>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</si>
  <si>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</si>
  <si>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</si>
  <si>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</si>
  <si>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03.02.2025г.</t>
  </si>
  <si>
    <t>поставка товаров</t>
  </si>
  <si>
    <t>ООО "Компьютер бизнес сервис СИБИЭС"</t>
  </si>
  <si>
    <t>с 03.02.2025г. по 21.02.2025г.</t>
  </si>
  <si>
    <t>в течение 10 рабочих дней с даты подписания документов о приемке товара</t>
  </si>
  <si>
    <t>06.02.2025г.</t>
  </si>
  <si>
    <t>2353002623</t>
  </si>
  <si>
    <t>09.01.2025г.</t>
  </si>
  <si>
    <t>поставка нефтепродуктов</t>
  </si>
  <si>
    <t>235300578903</t>
  </si>
  <si>
    <t>ИП Калайчев Ш.С.</t>
  </si>
  <si>
    <t>с 09.01.2025г. по 28.02.2025г.</t>
  </si>
  <si>
    <t>31.01.2025г.</t>
  </si>
  <si>
    <t>в течение 10 рабочих дней с даты получения документов о поставке товаров</t>
  </si>
  <si>
    <t>11.02.2025г.</t>
  </si>
  <si>
    <t>235300203781</t>
  </si>
  <si>
    <t>ИП Ледовская С.В.</t>
  </si>
  <si>
    <t>12.02.2025г.</t>
  </si>
  <si>
    <t>услуги по выполнению предрейсового и послерейсового технического осмотра ТС</t>
  </si>
  <si>
    <t>Тимашевская РО КРО ОО "ВОА"</t>
  </si>
  <si>
    <t>с 27.01.2025г. по 31.12.2025г.</t>
  </si>
  <si>
    <t>в течение 10 рабочих дней с момента выставления счета</t>
  </si>
  <si>
    <t>13.02.2025г.</t>
  </si>
  <si>
    <t>№6</t>
  </si>
  <si>
    <t>поставка товара</t>
  </si>
  <si>
    <t>ИП Латышева Н.П.</t>
  </si>
  <si>
    <t>с 13.02.2025г.по 31.12.2025г.</t>
  </si>
  <si>
    <t>14.02.2025г.</t>
  </si>
  <si>
    <t>№3</t>
  </si>
  <si>
    <t>05.02.2025г.</t>
  </si>
  <si>
    <t>ремонт автомобиля</t>
  </si>
  <si>
    <t>ИП Аполонов А.А.</t>
  </si>
  <si>
    <t>17.02.2025г.</t>
  </si>
  <si>
    <t>25.02.2025г.</t>
  </si>
  <si>
    <t>неисключительное право использования программы для ЭВМ</t>
  </si>
  <si>
    <t>234602203000</t>
  </si>
  <si>
    <t>ИП Архангельский А.А.</t>
  </si>
  <si>
    <t>26.02.2025г.</t>
  </si>
  <si>
    <t>в течение 10 рабочих дней со дня подписания акта оказанных услуг</t>
  </si>
  <si>
    <t>№2</t>
  </si>
  <si>
    <t>24.02.2025г.</t>
  </si>
  <si>
    <t>с 24.02.2025г. по 17.03.2025г.</t>
  </si>
  <si>
    <t>ремонт принтера</t>
  </si>
  <si>
    <t xml:space="preserve">с 17.02.2025г. по 07.03.2025г. </t>
  </si>
  <si>
    <t>27.02.2025г.</t>
  </si>
  <si>
    <t>24.01.2025г.</t>
  </si>
  <si>
    <t>07.02.2025г.</t>
  </si>
  <si>
    <t>20.02.2025г.</t>
  </si>
  <si>
    <t>04.03.2025г.</t>
  </si>
  <si>
    <t>18.02.2025г.</t>
  </si>
  <si>
    <t>18.08.2025г.</t>
  </si>
  <si>
    <t>28.02.2025г.</t>
  </si>
  <si>
    <t>13.03.2025г.</t>
  </si>
  <si>
    <t>14.03.2025г.</t>
  </si>
  <si>
    <t>17.03.2025г.</t>
  </si>
  <si>
    <t>18.03.2025г.</t>
  </si>
  <si>
    <t>10.03.2025г.</t>
  </si>
  <si>
    <t>ИП Карлов И.В.</t>
  </si>
  <si>
    <t>05.02.2025г. по 25.02.2025г.</t>
  </si>
  <si>
    <t>с 10.03.2025г. по 30.04.2025г.</t>
  </si>
  <si>
    <t>ремонт транспортных средств</t>
  </si>
  <si>
    <t>с 28.02.2025г. по 31.03.2025г.</t>
  </si>
  <si>
    <t>11.03.2025г.</t>
  </si>
  <si>
    <t>№01-06/2025</t>
  </si>
  <si>
    <t>эеспертно-оценочные работы</t>
  </si>
  <si>
    <t>Тимашевская торгово-промышленная палата</t>
  </si>
  <si>
    <t>№4</t>
  </si>
  <si>
    <t>с 17.03.2025г. По 02.04.2025г.</t>
  </si>
  <si>
    <t>20.03.2025г.</t>
  </si>
  <si>
    <t>№23-12190</t>
  </si>
  <si>
    <t>полиграфическая продукция</t>
  </si>
  <si>
    <t>ООО "СБМ"</t>
  </si>
  <si>
    <t>с 26.02.2025г. по 31.12.2025г.</t>
  </si>
  <si>
    <t>в течение 10 рабочих дней с момента получения продукции</t>
  </si>
  <si>
    <t>25.03.2025г.</t>
  </si>
  <si>
    <t>№14/26.02</t>
  </si>
  <si>
    <t>учебники для библиотечного фонда</t>
  </si>
  <si>
    <t>ООО "Вольный странник"</t>
  </si>
  <si>
    <t>12.03.2025г.</t>
  </si>
  <si>
    <t>21.03.2025г.</t>
  </si>
  <si>
    <t>31.03.2025г.</t>
  </si>
  <si>
    <t>03.03.2025г.</t>
  </si>
  <si>
    <t>13.02.2024г.</t>
  </si>
  <si>
    <t>11.04.2025г.</t>
  </si>
  <si>
    <t>09.04.2025г.</t>
  </si>
  <si>
    <t>10.04.2025г.</t>
  </si>
  <si>
    <t>б/н от 11.04.2025г.</t>
  </si>
  <si>
    <t>02.04.2025г.</t>
  </si>
  <si>
    <t>01.04.2025г.</t>
  </si>
  <si>
    <t>07.04.2025г.</t>
  </si>
  <si>
    <t>08.04.2025г.</t>
  </si>
  <si>
    <t>15.04.2025г.</t>
  </si>
  <si>
    <t>бензин</t>
  </si>
  <si>
    <t>с 01.03.2025г. по 30.06.2025г.</t>
  </si>
  <si>
    <t>в течение 10 рабочих дней с момента подписания документа о приемке</t>
  </si>
  <si>
    <t>№К134648/25</t>
  </si>
  <si>
    <t>16.04.2025г.</t>
  </si>
  <si>
    <t>программа для ЭВМ</t>
  </si>
  <si>
    <t>6663003127</t>
  </si>
  <si>
    <t>АО "ПФ"СКБ Контур"</t>
  </si>
  <si>
    <t>с 16.04.205г. по 31.12.2025г.</t>
  </si>
  <si>
    <t>17.04.2025г.</t>
  </si>
  <si>
    <t>в течение 10 рабочих дней со дня получения документов на оплату</t>
  </si>
  <si>
    <t>21.04.2025г.</t>
  </si>
  <si>
    <t>№04/2025</t>
  </si>
  <si>
    <t xml:space="preserve">ковер борцовский </t>
  </si>
  <si>
    <t>7329022201</t>
  </si>
  <si>
    <t>ООО "РУССАМБО"</t>
  </si>
  <si>
    <t>с 15.04.2025г. по 31.12.2025г.</t>
  </si>
  <si>
    <t>23.04.2025г.</t>
  </si>
  <si>
    <t>УПД</t>
  </si>
  <si>
    <t>2310132554</t>
  </si>
  <si>
    <t>ООО "Краснодарский краевой коллектор учебно-наглядных пособий, технических средств обучения и оборудования"</t>
  </si>
  <si>
    <t>с 18.03.2025г. по 15.08.2025г.</t>
  </si>
  <si>
    <t>в течение 7 рабочих дней с момента подписания документов</t>
  </si>
  <si>
    <t>аккумулятор</t>
  </si>
  <si>
    <t>233613206000</t>
  </si>
  <si>
    <t>ИП Демченко Е.Ю.</t>
  </si>
  <si>
    <t>04.04.2025г.</t>
  </si>
  <si>
    <t>в течение 10 рабочих дней с момента подписания документов на оплату</t>
  </si>
  <si>
    <t>26.03.2025г.</t>
  </si>
  <si>
    <t>светильники</t>
  </si>
  <si>
    <t>233003348389</t>
  </si>
  <si>
    <t>ИП Тарануха А.В.</t>
  </si>
  <si>
    <t>№14/25</t>
  </si>
  <si>
    <t>дератизация</t>
  </si>
  <si>
    <t>ООО "Дезинфекция"</t>
  </si>
  <si>
    <t>27.03.2025г.</t>
  </si>
  <si>
    <t>20.01.2025г.</t>
  </si>
  <si>
    <t>услуги связи</t>
  </si>
  <si>
    <t>7707049388</t>
  </si>
  <si>
    <t>ПАО "Ростелеком"</t>
  </si>
  <si>
    <t>с 26.03.2025г. по 18.04.2025г.</t>
  </si>
  <si>
    <t>с 02.07.2025г. по 30,04.2025г.</t>
  </si>
  <si>
    <t>№А0172156</t>
  </si>
  <si>
    <t>21.02.2025г.</t>
  </si>
  <si>
    <t>учебники</t>
  </si>
  <si>
    <t>АО "Издательство "Просвещение"</t>
  </si>
  <si>
    <t>c 21.02.2025г. по 30.06.2025г.</t>
  </si>
  <si>
    <t>22.04.2025г.</t>
  </si>
  <si>
    <t>в течение 10 рабочих дней со дня подписания заказчиком УПД</t>
  </si>
  <si>
    <t>03.04.2025г.</t>
  </si>
  <si>
    <t>04.05.2025г.</t>
  </si>
  <si>
    <t>07.05.2025г.</t>
  </si>
  <si>
    <t>28.03.2025г.</t>
  </si>
  <si>
    <t>25.04.2025г.</t>
  </si>
  <si>
    <t>30.04.2025г.</t>
  </si>
  <si>
    <t>05.05.2025г.</t>
  </si>
  <si>
    <t>15.05.2025г.</t>
  </si>
  <si>
    <t>0.05.2025г.</t>
  </si>
  <si>
    <t>12.05.2025г.</t>
  </si>
  <si>
    <t>13.05.2025г.</t>
  </si>
  <si>
    <t>16.05.2025г.</t>
  </si>
  <si>
    <t>услуги по организации питания</t>
  </si>
  <si>
    <t>ООО Тимашевское предприятие розничной торговли райпо"</t>
  </si>
  <si>
    <t>с 01.04.2025г. по 24.05.2025г.</t>
  </si>
  <si>
    <t>21.05.2025г.</t>
  </si>
  <si>
    <t>23.05.2025г.</t>
  </si>
  <si>
    <t>30.05.2025г.</t>
  </si>
  <si>
    <t>26.05.2025г.</t>
  </si>
  <si>
    <t>товар (ошнетушители)</t>
  </si>
  <si>
    <t>ИП Черненко В.А.</t>
  </si>
  <si>
    <t>с 26.05.2025г. по 31.12.2025г.</t>
  </si>
  <si>
    <t>27.05.2025г.</t>
  </si>
  <si>
    <t>в срок не более 10 рабочих дней с даты подписания заказчиком документа о приемке</t>
  </si>
  <si>
    <t>235307300400</t>
  </si>
  <si>
    <t>№392</t>
  </si>
  <si>
    <t>карта тахографа</t>
  </si>
  <si>
    <t>2369000660</t>
  </si>
  <si>
    <t>с 13.05.2025г. по 31.12.2025г.</t>
  </si>
  <si>
    <t>в срок не более 7 рабочих дней с даты подписания заказчиком дтоварной накладной</t>
  </si>
  <si>
    <t>№АТ00-005223</t>
  </si>
  <si>
    <t>2311187588</t>
  </si>
  <si>
    <t>ООО "АйТи Мониторинг"</t>
  </si>
  <si>
    <t>с 15.05.2025г. по 31.12.2025г.</t>
  </si>
  <si>
    <t>19.05.2025г.</t>
  </si>
  <si>
    <t>№06/К/СМЭВ/7943</t>
  </si>
  <si>
    <t>28.04.2025г.</t>
  </si>
  <si>
    <t>программное обеспечение</t>
  </si>
  <si>
    <t>право использования программного обеспечения</t>
  </si>
  <si>
    <t>2308065195</t>
  </si>
  <si>
    <t>ГУП КК "ЦИТ"</t>
  </si>
  <si>
    <t>в срок не более 7 рабочих дней с даты подписания УПД</t>
  </si>
  <si>
    <t>с 28.04.2025г. по 31.12.2025г.</t>
  </si>
  <si>
    <t>№06/СМЭВ/7942</t>
  </si>
  <si>
    <t>услуги по обслуживанию</t>
  </si>
  <si>
    <t>№75/25</t>
  </si>
  <si>
    <t>медицинские услуги</t>
  </si>
  <si>
    <t>2353006498</t>
  </si>
  <si>
    <t>с 12.05.2025г. по 12.05.2025г.</t>
  </si>
  <si>
    <t>в течение 7 рабочих дней с даты подписания сторонами акта об оказании услуг</t>
  </si>
  <si>
    <t>№75-1/25</t>
  </si>
  <si>
    <t>22.05.2025г.</t>
  </si>
  <si>
    <t>28.05.2025г.</t>
  </si>
  <si>
    <t>02.06.2025г.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</si>
</sst>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165" fontId="1" fillId="0" borderId="20" xfId="0" applyNumberFormat="1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00FF00"/>
      <color rgb="FFFF9999"/>
      <color rgb="FFA30101"/>
      <color rgb="FFFF6D6D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D4" sqref="D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65" t="s">
        <v>141</v>
      </c>
      <c r="B1" s="266"/>
      <c r="C1" s="266"/>
      <c r="D1" s="266"/>
      <c r="E1" s="265" t="s">
        <v>154</v>
      </c>
      <c r="F1" s="266"/>
      <c r="G1" s="266"/>
      <c r="H1" s="266"/>
      <c r="I1" s="266"/>
      <c r="J1" s="266"/>
      <c r="K1" s="266"/>
      <c r="L1" s="266"/>
      <c r="M1" s="266"/>
      <c r="N1" s="267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301" t="s">
        <v>25</v>
      </c>
      <c r="B4" s="302"/>
      <c r="C4" s="4">
        <v>13461523.08</v>
      </c>
      <c r="D4" s="5"/>
      <c r="E4" s="303" t="s">
        <v>140</v>
      </c>
      <c r="F4" s="304"/>
      <c r="G4" s="305"/>
      <c r="H4" s="306">
        <v>2000000</v>
      </c>
      <c r="I4" s="307"/>
      <c r="J4" s="308"/>
      <c r="K4" s="17"/>
      <c r="L4" s="81" t="s">
        <v>55</v>
      </c>
      <c r="M4" s="303">
        <v>4962082.2699999996</v>
      </c>
      <c r="N4" s="305"/>
    </row>
    <row r="5" spans="1:14" ht="30.75" customHeight="1" thickBot="1" x14ac:dyDescent="0.3">
      <c r="A5" s="301" t="s">
        <v>26</v>
      </c>
      <c r="B5" s="302"/>
      <c r="C5" s="6">
        <f>C4-G15+J15</f>
        <v>6165262.4500000002</v>
      </c>
      <c r="D5" s="5"/>
      <c r="E5" s="303" t="s">
        <v>53</v>
      </c>
      <c r="F5" s="304"/>
      <c r="G5" s="305"/>
      <c r="H5" s="296">
        <f>H4-G12</f>
        <v>1522254.9</v>
      </c>
      <c r="I5" s="297"/>
      <c r="J5" s="298"/>
      <c r="K5" s="17"/>
      <c r="L5" s="81" t="s">
        <v>54</v>
      </c>
      <c r="M5" s="299">
        <f>M4-G13+J13</f>
        <v>2695543.1199999996</v>
      </c>
      <c r="N5" s="300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309" t="s">
        <v>27</v>
      </c>
      <c r="B8" s="310"/>
      <c r="C8" s="311"/>
      <c r="D8" s="309" t="s">
        <v>28</v>
      </c>
      <c r="E8" s="310"/>
      <c r="F8" s="311"/>
      <c r="G8" s="312" t="s">
        <v>29</v>
      </c>
      <c r="H8" s="313"/>
      <c r="I8" s="314"/>
      <c r="J8" s="312" t="s">
        <v>142</v>
      </c>
      <c r="K8" s="313"/>
      <c r="L8" s="314"/>
      <c r="M8" s="309" t="s">
        <v>30</v>
      </c>
      <c r="N8" s="311"/>
    </row>
    <row r="9" spans="1:14" ht="41.25" customHeight="1" thickBot="1" x14ac:dyDescent="0.3">
      <c r="A9" s="287" t="s">
        <v>31</v>
      </c>
      <c r="B9" s="288"/>
      <c r="C9" s="289"/>
      <c r="D9" s="286">
        <f>'Состоявшиеся аукционы'!G2</f>
        <v>740880</v>
      </c>
      <c r="E9" s="286"/>
      <c r="F9" s="286"/>
      <c r="G9" s="286">
        <f>'Состоявшиеся аукционы'!Q2</f>
        <v>674200.8</v>
      </c>
      <c r="H9" s="286"/>
      <c r="I9" s="286"/>
      <c r="J9" s="283">
        <f>'Состоявшиеся аукционы'!AB2</f>
        <v>0</v>
      </c>
      <c r="K9" s="284"/>
      <c r="L9" s="285"/>
      <c r="M9" s="286">
        <f t="shared" ref="M9:M15" si="0">D9-G9</f>
        <v>66679.199999999953</v>
      </c>
      <c r="N9" s="286"/>
    </row>
    <row r="10" spans="1:14" ht="78.75" customHeight="1" thickBot="1" x14ac:dyDescent="0.3">
      <c r="A10" s="287" t="s">
        <v>49</v>
      </c>
      <c r="B10" s="288"/>
      <c r="C10" s="289"/>
      <c r="D10" s="286">
        <f>'Несостоявшиеся аукционы'!G2</f>
        <v>1539365.26</v>
      </c>
      <c r="E10" s="286"/>
      <c r="F10" s="286"/>
      <c r="G10" s="286">
        <f>'Несостоявшиеся аукционы'!Q2</f>
        <v>1539365.26</v>
      </c>
      <c r="H10" s="286"/>
      <c r="I10" s="286"/>
      <c r="J10" s="283">
        <f>'Несостоявшиеся аукционы'!AB2</f>
        <v>0</v>
      </c>
      <c r="K10" s="284"/>
      <c r="L10" s="285"/>
      <c r="M10" s="286">
        <f t="shared" si="0"/>
        <v>0</v>
      </c>
      <c r="N10" s="286"/>
    </row>
    <row r="11" spans="1:14" ht="40.5" customHeight="1" thickBot="1" x14ac:dyDescent="0.3">
      <c r="A11" s="287" t="s">
        <v>83</v>
      </c>
      <c r="B11" s="288"/>
      <c r="C11" s="289"/>
      <c r="D11" s="283">
        <f>'Иные конкурентные закупки'!G2</f>
        <v>0</v>
      </c>
      <c r="E11" s="284"/>
      <c r="F11" s="285"/>
      <c r="G11" s="283">
        <f>'Иные конкурентные закупки'!Q2</f>
        <v>0</v>
      </c>
      <c r="H11" s="284"/>
      <c r="I11" s="285"/>
      <c r="J11" s="283">
        <f>'Иные конкурентные закупки'!AB2</f>
        <v>0</v>
      </c>
      <c r="K11" s="284"/>
      <c r="L11" s="285"/>
      <c r="M11" s="283">
        <f t="shared" si="0"/>
        <v>0</v>
      </c>
      <c r="N11" s="285"/>
    </row>
    <row r="12" spans="1:14" ht="54.75" customHeight="1" thickBot="1" x14ac:dyDescent="0.3">
      <c r="A12" s="290" t="s">
        <v>50</v>
      </c>
      <c r="B12" s="291"/>
      <c r="C12" s="292"/>
      <c r="D12" s="286">
        <f>'Ед. поставщик п.4 ч.1'!H2</f>
        <v>477745.1</v>
      </c>
      <c r="E12" s="286"/>
      <c r="F12" s="286"/>
      <c r="G12" s="286">
        <f>D12</f>
        <v>477745.1</v>
      </c>
      <c r="H12" s="286"/>
      <c r="I12" s="286"/>
      <c r="J12" s="283">
        <f>'Ед. поставщик п.4 ч.1'!V2</f>
        <v>0</v>
      </c>
      <c r="K12" s="284"/>
      <c r="L12" s="285"/>
      <c r="M12" s="286">
        <f t="shared" si="0"/>
        <v>0</v>
      </c>
      <c r="N12" s="286"/>
    </row>
    <row r="13" spans="1:14" ht="45.75" customHeight="1" thickBot="1" x14ac:dyDescent="0.3">
      <c r="A13" s="290" t="s">
        <v>51</v>
      </c>
      <c r="B13" s="291"/>
      <c r="C13" s="292"/>
      <c r="D13" s="286">
        <f>'Ед. поставщик п.5 ч.1'!H2</f>
        <v>2309863.63</v>
      </c>
      <c r="E13" s="286"/>
      <c r="F13" s="286"/>
      <c r="G13" s="286">
        <f>D13</f>
        <v>2309863.63</v>
      </c>
      <c r="H13" s="286"/>
      <c r="I13" s="286"/>
      <c r="J13" s="283">
        <f>'Ед. поставщик п.5 ч.1'!V2</f>
        <v>43324.479999999996</v>
      </c>
      <c r="K13" s="284"/>
      <c r="L13" s="285"/>
      <c r="M13" s="286">
        <f t="shared" si="0"/>
        <v>0</v>
      </c>
      <c r="N13" s="286"/>
    </row>
    <row r="14" spans="1:14" ht="45.75" customHeight="1" thickBot="1" x14ac:dyDescent="0.3">
      <c r="A14" s="280" t="s">
        <v>52</v>
      </c>
      <c r="B14" s="281"/>
      <c r="C14" s="282"/>
      <c r="D14" s="283">
        <f>'Ед.поставщик за искл. п.4,5 ч.1'!G2</f>
        <v>2338410.3200000003</v>
      </c>
      <c r="E14" s="284"/>
      <c r="F14" s="285"/>
      <c r="G14" s="283">
        <f>D14</f>
        <v>2338410.3200000003</v>
      </c>
      <c r="H14" s="284"/>
      <c r="I14" s="285"/>
      <c r="J14" s="283">
        <f>'Ед.поставщик за искл. п.4,5 ч.1'!T2</f>
        <v>0</v>
      </c>
      <c r="K14" s="284"/>
      <c r="L14" s="285"/>
      <c r="M14" s="286">
        <f t="shared" si="0"/>
        <v>0</v>
      </c>
      <c r="N14" s="286"/>
    </row>
    <row r="15" spans="1:14" ht="21" thickBot="1" x14ac:dyDescent="0.3">
      <c r="A15" s="293" t="s">
        <v>143</v>
      </c>
      <c r="B15" s="294"/>
      <c r="C15" s="295"/>
      <c r="D15" s="286">
        <f>SUM(D9:D14)</f>
        <v>7406264.3100000005</v>
      </c>
      <c r="E15" s="286"/>
      <c r="F15" s="286"/>
      <c r="G15" s="283">
        <f>SUM(G9:G14)</f>
        <v>7339585.1100000003</v>
      </c>
      <c r="H15" s="284"/>
      <c r="I15" s="285"/>
      <c r="J15" s="283">
        <f>SUM(J9:J14)</f>
        <v>43324.479999999996</v>
      </c>
      <c r="K15" s="284"/>
      <c r="L15" s="285"/>
      <c r="M15" s="286">
        <f t="shared" si="0"/>
        <v>66679.200000000186</v>
      </c>
      <c r="N15" s="286"/>
    </row>
    <row r="18" spans="1:12" ht="15.75" thickBot="1" x14ac:dyDescent="0.3"/>
    <row r="19" spans="1:12" ht="23.25" customHeight="1" x14ac:dyDescent="0.25">
      <c r="A19" s="268" t="s">
        <v>35</v>
      </c>
      <c r="B19" s="269"/>
      <c r="C19" s="270"/>
      <c r="D19" s="27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5621250.3700000001</v>
      </c>
      <c r="E19" s="275"/>
      <c r="F19" s="275"/>
      <c r="G19" s="276"/>
      <c r="I19" s="15"/>
      <c r="J19" s="15"/>
      <c r="K19" s="15"/>
      <c r="L19" s="15"/>
    </row>
    <row r="20" spans="1:12" ht="24" customHeight="1" thickBot="1" x14ac:dyDescent="0.3">
      <c r="A20" s="271"/>
      <c r="B20" s="272"/>
      <c r="C20" s="273"/>
      <c r="D20" s="277"/>
      <c r="E20" s="278"/>
      <c r="F20" s="278"/>
      <c r="G20" s="27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34"/>
  <sheetViews>
    <sheetView showGridLines="0" topLeftCell="H1" zoomScale="60" zoomScaleNormal="60" workbookViewId="0">
      <pane ySplit="8" topLeftCell="A32" activePane="bottomLeft" state="frozen"/>
      <selection activeCell="I1" sqref="I1"/>
      <selection pane="bottomLeft" activeCell="R33" sqref="R33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477745.1</v>
      </c>
      <c r="K2" s="335"/>
      <c r="L2" s="335"/>
      <c r="M2" s="335"/>
      <c r="N2" s="331" t="s">
        <v>137</v>
      </c>
      <c r="O2" s="333"/>
      <c r="P2" s="69">
        <f>SUM(P9:P9999)</f>
        <v>470015.6</v>
      </c>
      <c r="R2" s="68"/>
      <c r="S2" s="331" t="s">
        <v>45</v>
      </c>
      <c r="T2" s="332"/>
      <c r="U2" s="333"/>
      <c r="V2" s="70">
        <f>SUM(V9:V9999)</f>
        <v>0</v>
      </c>
    </row>
    <row r="3" spans="1:24" x14ac:dyDescent="0.25">
      <c r="A3" s="335"/>
      <c r="B3" s="335"/>
      <c r="C3" s="335"/>
      <c r="D3" s="335"/>
      <c r="E3" s="335"/>
      <c r="N3" s="68"/>
    </row>
    <row r="4" spans="1:24" ht="39.950000000000003" customHeight="1" x14ac:dyDescent="0.25">
      <c r="J4" s="334"/>
      <c r="K4" s="334"/>
      <c r="M4" s="334"/>
      <c r="N4" s="334"/>
      <c r="O4" s="334"/>
      <c r="P4" s="334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15">
        <v>1</v>
      </c>
      <c r="B9" s="321" t="s">
        <v>56</v>
      </c>
      <c r="C9" s="321"/>
      <c r="D9" s="321"/>
      <c r="E9" s="325" t="s">
        <v>161</v>
      </c>
      <c r="F9" s="317" t="s">
        <v>210</v>
      </c>
      <c r="G9" s="321" t="s">
        <v>211</v>
      </c>
      <c r="H9" s="319">
        <v>24800</v>
      </c>
      <c r="I9" s="327">
        <f>IF(X9 = 145, H9 + SUM(S9:S10) - SUM(T9:T10) - SUM(P9:P10) - V9,0)</f>
        <v>0</v>
      </c>
      <c r="J9" s="321" t="s">
        <v>216</v>
      </c>
      <c r="K9" s="321" t="s">
        <v>212</v>
      </c>
      <c r="L9" s="321"/>
      <c r="M9" s="321" t="s">
        <v>213</v>
      </c>
      <c r="N9" s="105" t="s">
        <v>210</v>
      </c>
      <c r="O9" s="317" t="s">
        <v>214</v>
      </c>
      <c r="P9" s="106">
        <v>8000</v>
      </c>
      <c r="Q9" s="107" t="s">
        <v>215</v>
      </c>
      <c r="R9" s="108"/>
      <c r="S9" s="106"/>
      <c r="T9" s="106"/>
      <c r="U9" s="319"/>
      <c r="V9" s="323"/>
      <c r="W9" s="329"/>
      <c r="X9" s="85">
        <v>145</v>
      </c>
    </row>
    <row r="10" spans="1:24" s="104" customFormat="1" x14ac:dyDescent="0.25">
      <c r="A10" s="316"/>
      <c r="B10" s="322"/>
      <c r="C10" s="322"/>
      <c r="D10" s="322"/>
      <c r="E10" s="326"/>
      <c r="F10" s="318"/>
      <c r="G10" s="322"/>
      <c r="H10" s="320"/>
      <c r="I10" s="328"/>
      <c r="J10" s="322"/>
      <c r="K10" s="322"/>
      <c r="L10" s="322"/>
      <c r="M10" s="322"/>
      <c r="N10" s="109" t="s">
        <v>210</v>
      </c>
      <c r="O10" s="318"/>
      <c r="P10" s="110">
        <v>16800</v>
      </c>
      <c r="Q10" s="111" t="s">
        <v>215</v>
      </c>
      <c r="R10" s="112"/>
      <c r="S10" s="110"/>
      <c r="T10" s="110"/>
      <c r="U10" s="320"/>
      <c r="V10" s="324"/>
      <c r="W10" s="330"/>
      <c r="X10" s="104">
        <v>145</v>
      </c>
    </row>
    <row r="11" spans="1:24" s="85" customFormat="1" ht="72" customHeight="1" x14ac:dyDescent="0.25">
      <c r="A11" s="356">
        <v>2</v>
      </c>
      <c r="B11" s="338" t="s">
        <v>56</v>
      </c>
      <c r="C11" s="338"/>
      <c r="D11" s="338"/>
      <c r="E11" s="350" t="s">
        <v>161</v>
      </c>
      <c r="F11" s="352" t="s">
        <v>217</v>
      </c>
      <c r="G11" s="338" t="s">
        <v>218</v>
      </c>
      <c r="H11" s="336">
        <v>156799.5</v>
      </c>
      <c r="I11" s="354">
        <f>IF(X11 = 146, H11 + SUM(S11:S12) - SUM(T11:T12) - SUM(P11:P12) - V11,0)</f>
        <v>0</v>
      </c>
      <c r="J11" s="338" t="s">
        <v>219</v>
      </c>
      <c r="K11" s="338" t="s">
        <v>220</v>
      </c>
      <c r="L11" s="338"/>
      <c r="M11" s="338" t="s">
        <v>221</v>
      </c>
      <c r="N11" s="128" t="s">
        <v>222</v>
      </c>
      <c r="O11" s="352" t="s">
        <v>223</v>
      </c>
      <c r="P11" s="122">
        <v>61490</v>
      </c>
      <c r="Q11" s="123" t="s">
        <v>224</v>
      </c>
      <c r="R11" s="124"/>
      <c r="S11" s="122"/>
      <c r="T11" s="122"/>
      <c r="U11" s="336"/>
      <c r="V11" s="340"/>
      <c r="W11" s="348"/>
      <c r="X11" s="85">
        <v>146</v>
      </c>
    </row>
    <row r="12" spans="1:24" s="104" customFormat="1" x14ac:dyDescent="0.25">
      <c r="A12" s="357"/>
      <c r="B12" s="339"/>
      <c r="C12" s="339"/>
      <c r="D12" s="339"/>
      <c r="E12" s="351"/>
      <c r="F12" s="353"/>
      <c r="G12" s="339"/>
      <c r="H12" s="337"/>
      <c r="I12" s="355"/>
      <c r="J12" s="339"/>
      <c r="K12" s="339"/>
      <c r="L12" s="339"/>
      <c r="M12" s="339"/>
      <c r="N12" s="129" t="s">
        <v>261</v>
      </c>
      <c r="O12" s="353"/>
      <c r="P12" s="125">
        <v>95309.5</v>
      </c>
      <c r="Q12" s="126" t="s">
        <v>263</v>
      </c>
      <c r="R12" s="127"/>
      <c r="S12" s="125"/>
      <c r="T12" s="125"/>
      <c r="U12" s="337"/>
      <c r="V12" s="341"/>
      <c r="W12" s="349"/>
      <c r="X12" s="104">
        <v>146</v>
      </c>
    </row>
    <row r="13" spans="1:24" s="85" customFormat="1" ht="36" customHeight="1" x14ac:dyDescent="0.25">
      <c r="A13" s="315">
        <v>3</v>
      </c>
      <c r="B13" s="321" t="s">
        <v>56</v>
      </c>
      <c r="C13" s="321"/>
      <c r="D13" s="321"/>
      <c r="E13" s="325" t="s">
        <v>161</v>
      </c>
      <c r="F13" s="317" t="s">
        <v>210</v>
      </c>
      <c r="G13" s="321" t="s">
        <v>211</v>
      </c>
      <c r="H13" s="319">
        <v>26438</v>
      </c>
      <c r="I13" s="327">
        <f>IF(X13 = 147, H13 + SUM(S13:S14) - SUM(T13:T14) - SUM(P13:P14) - V13,0)</f>
        <v>0</v>
      </c>
      <c r="J13" s="321" t="s">
        <v>225</v>
      </c>
      <c r="K13" s="321" t="s">
        <v>226</v>
      </c>
      <c r="L13" s="321"/>
      <c r="M13" s="321" t="s">
        <v>213</v>
      </c>
      <c r="N13" s="105" t="s">
        <v>210</v>
      </c>
      <c r="O13" s="317" t="s">
        <v>214</v>
      </c>
      <c r="P13" s="106">
        <v>16139</v>
      </c>
      <c r="Q13" s="107" t="s">
        <v>224</v>
      </c>
      <c r="R13" s="108"/>
      <c r="S13" s="106"/>
      <c r="T13" s="106"/>
      <c r="U13" s="319"/>
      <c r="V13" s="323"/>
      <c r="W13" s="329"/>
      <c r="X13" s="85">
        <v>147</v>
      </c>
    </row>
    <row r="14" spans="1:24" s="104" customFormat="1" x14ac:dyDescent="0.25">
      <c r="A14" s="316"/>
      <c r="B14" s="322"/>
      <c r="C14" s="322"/>
      <c r="D14" s="322"/>
      <c r="E14" s="326"/>
      <c r="F14" s="318"/>
      <c r="G14" s="322"/>
      <c r="H14" s="320"/>
      <c r="I14" s="328"/>
      <c r="J14" s="322"/>
      <c r="K14" s="322"/>
      <c r="L14" s="322"/>
      <c r="M14" s="322"/>
      <c r="N14" s="109" t="s">
        <v>210</v>
      </c>
      <c r="O14" s="318"/>
      <c r="P14" s="110">
        <v>10299</v>
      </c>
      <c r="Q14" s="111" t="s">
        <v>224</v>
      </c>
      <c r="R14" s="112"/>
      <c r="S14" s="110"/>
      <c r="T14" s="110"/>
      <c r="U14" s="320"/>
      <c r="V14" s="324"/>
      <c r="W14" s="330"/>
      <c r="X14" s="104">
        <v>147</v>
      </c>
    </row>
    <row r="15" spans="1:24" s="85" customFormat="1" ht="75" x14ac:dyDescent="0.25">
      <c r="A15" s="86">
        <v>4</v>
      </c>
      <c r="B15" s="88" t="s">
        <v>56</v>
      </c>
      <c r="C15" s="88"/>
      <c r="D15" s="88"/>
      <c r="E15" s="91" t="s">
        <v>161</v>
      </c>
      <c r="F15" s="103" t="s">
        <v>243</v>
      </c>
      <c r="G15" s="88" t="s">
        <v>244</v>
      </c>
      <c r="H15" s="87">
        <v>8000</v>
      </c>
      <c r="I15" s="92">
        <f>IF(X15 = 148, H15 + SUM(S15:S15) - SUM(T15:T15) - SUM(P15:P15) - V15,0)</f>
        <v>0</v>
      </c>
      <c r="J15" s="88" t="s">
        <v>245</v>
      </c>
      <c r="K15" s="88" t="s">
        <v>246</v>
      </c>
      <c r="L15" s="88"/>
      <c r="M15" s="88" t="s">
        <v>221</v>
      </c>
      <c r="N15" s="103" t="s">
        <v>243</v>
      </c>
      <c r="O15" s="103" t="s">
        <v>248</v>
      </c>
      <c r="P15" s="87">
        <v>8000</v>
      </c>
      <c r="Q15" s="91" t="s">
        <v>247</v>
      </c>
      <c r="R15" s="88"/>
      <c r="S15" s="87"/>
      <c r="T15" s="87"/>
      <c r="U15" s="87"/>
      <c r="V15" s="95"/>
      <c r="W15" s="90"/>
      <c r="X15" s="85">
        <v>148</v>
      </c>
    </row>
    <row r="16" spans="1:24" s="85" customFormat="1" ht="93.75" x14ac:dyDescent="0.25">
      <c r="A16" s="86">
        <v>5</v>
      </c>
      <c r="B16" s="88" t="s">
        <v>56</v>
      </c>
      <c r="C16" s="88"/>
      <c r="D16" s="88"/>
      <c r="E16" s="91" t="s">
        <v>249</v>
      </c>
      <c r="F16" s="103" t="s">
        <v>250</v>
      </c>
      <c r="G16" s="88" t="s">
        <v>211</v>
      </c>
      <c r="H16" s="87">
        <v>46500</v>
      </c>
      <c r="I16" s="92">
        <f>IF(X16 = 149, H16 + SUM(S16:S16) - SUM(T16:T16) - SUM(P16:P16) - V16,0)</f>
        <v>0</v>
      </c>
      <c r="J16" s="88" t="s">
        <v>216</v>
      </c>
      <c r="K16" s="88" t="s">
        <v>212</v>
      </c>
      <c r="L16" s="88"/>
      <c r="M16" s="88" t="s">
        <v>251</v>
      </c>
      <c r="N16" s="103" t="s">
        <v>250</v>
      </c>
      <c r="O16" s="103" t="s">
        <v>214</v>
      </c>
      <c r="P16" s="87">
        <v>46500</v>
      </c>
      <c r="Q16" s="91">
        <v>45715</v>
      </c>
      <c r="R16" s="88"/>
      <c r="S16" s="87"/>
      <c r="T16" s="87"/>
      <c r="U16" s="87"/>
      <c r="V16" s="95"/>
      <c r="W16" s="90"/>
      <c r="X16" s="85">
        <v>149</v>
      </c>
    </row>
    <row r="17" spans="1:24" s="85" customFormat="1" ht="75" x14ac:dyDescent="0.25">
      <c r="A17" s="86">
        <v>6</v>
      </c>
      <c r="B17" s="88" t="s">
        <v>56</v>
      </c>
      <c r="C17" s="88"/>
      <c r="D17" s="88"/>
      <c r="E17" s="91" t="s">
        <v>238</v>
      </c>
      <c r="F17" s="103" t="s">
        <v>242</v>
      </c>
      <c r="G17" s="88" t="s">
        <v>252</v>
      </c>
      <c r="H17" s="87">
        <v>8100</v>
      </c>
      <c r="I17" s="92">
        <f>IF(X17 = 150, H17 + SUM(S17:S17) - SUM(T17:T17) - SUM(P17:P17) - V17,0)</f>
        <v>0</v>
      </c>
      <c r="J17" s="88" t="s">
        <v>216</v>
      </c>
      <c r="K17" s="88" t="s">
        <v>212</v>
      </c>
      <c r="L17" s="88"/>
      <c r="M17" s="88" t="s">
        <v>253</v>
      </c>
      <c r="N17" s="103" t="s">
        <v>250</v>
      </c>
      <c r="O17" s="103" t="s">
        <v>248</v>
      </c>
      <c r="P17" s="87">
        <v>8100</v>
      </c>
      <c r="Q17" s="91" t="s">
        <v>254</v>
      </c>
      <c r="R17" s="88"/>
      <c r="S17" s="87"/>
      <c r="T17" s="87"/>
      <c r="U17" s="87"/>
      <c r="V17" s="95"/>
      <c r="W17" s="90"/>
      <c r="X17" s="85">
        <v>150</v>
      </c>
    </row>
    <row r="18" spans="1:24" s="85" customFormat="1" ht="56.25" x14ac:dyDescent="0.25">
      <c r="A18" s="159">
        <v>7</v>
      </c>
      <c r="B18" s="160" t="s">
        <v>56</v>
      </c>
      <c r="C18" s="160"/>
      <c r="D18" s="160"/>
      <c r="E18" s="161" t="s">
        <v>305</v>
      </c>
      <c r="F18" s="180" t="s">
        <v>306</v>
      </c>
      <c r="G18" s="160" t="s">
        <v>307</v>
      </c>
      <c r="H18" s="162">
        <v>2640</v>
      </c>
      <c r="I18" s="163">
        <f>IF(X18 = 151, H18 + SUM(S18:S18) - SUM(T18:T18) - SUM(P18:P18) - V18,0)</f>
        <v>0</v>
      </c>
      <c r="J18" s="160" t="s">
        <v>308</v>
      </c>
      <c r="K18" s="160" t="s">
        <v>309</v>
      </c>
      <c r="L18" s="160"/>
      <c r="M18" s="160" t="s">
        <v>310</v>
      </c>
      <c r="N18" s="180" t="s">
        <v>311</v>
      </c>
      <c r="O18" s="180" t="s">
        <v>312</v>
      </c>
      <c r="P18" s="162">
        <v>2640</v>
      </c>
      <c r="Q18" s="161" t="s">
        <v>313</v>
      </c>
      <c r="R18" s="160"/>
      <c r="S18" s="162"/>
      <c r="T18" s="162"/>
      <c r="U18" s="162"/>
      <c r="V18" s="181"/>
      <c r="W18" s="167"/>
      <c r="X18" s="85">
        <v>151</v>
      </c>
    </row>
    <row r="19" spans="1:24" s="85" customFormat="1" ht="56.25" x14ac:dyDescent="0.25">
      <c r="A19" s="159">
        <v>8</v>
      </c>
      <c r="B19" s="160" t="s">
        <v>56</v>
      </c>
      <c r="C19" s="160"/>
      <c r="D19" s="160"/>
      <c r="E19" s="161" t="s">
        <v>314</v>
      </c>
      <c r="F19" s="180" t="s">
        <v>301</v>
      </c>
      <c r="G19" s="160" t="s">
        <v>315</v>
      </c>
      <c r="H19" s="162">
        <v>89733</v>
      </c>
      <c r="I19" s="163">
        <f>IF(X19 = 152, H19 + SUM(S19:S19) - SUM(T19:T19) - SUM(P19:P19) - V19,0)</f>
        <v>0</v>
      </c>
      <c r="J19" s="160" t="s">
        <v>316</v>
      </c>
      <c r="K19" s="160" t="s">
        <v>317</v>
      </c>
      <c r="L19" s="160"/>
      <c r="M19" s="160" t="s">
        <v>318</v>
      </c>
      <c r="N19" s="180" t="s">
        <v>301</v>
      </c>
      <c r="O19" s="180" t="s">
        <v>312</v>
      </c>
      <c r="P19" s="162">
        <v>89733</v>
      </c>
      <c r="Q19" s="161" t="s">
        <v>319</v>
      </c>
      <c r="R19" s="160"/>
      <c r="S19" s="162"/>
      <c r="T19" s="162"/>
      <c r="U19" s="162"/>
      <c r="V19" s="181"/>
      <c r="W19" s="167"/>
      <c r="X19" s="85">
        <v>152</v>
      </c>
    </row>
    <row r="20" spans="1:24" s="85" customFormat="1" ht="112.5" x14ac:dyDescent="0.25">
      <c r="A20" s="159">
        <v>9</v>
      </c>
      <c r="B20" s="160" t="s">
        <v>56</v>
      </c>
      <c r="C20" s="160"/>
      <c r="D20" s="160"/>
      <c r="E20" s="161" t="s">
        <v>161</v>
      </c>
      <c r="F20" s="180" t="s">
        <v>265</v>
      </c>
      <c r="G20" s="160" t="s">
        <v>320</v>
      </c>
      <c r="H20" s="162">
        <v>700</v>
      </c>
      <c r="I20" s="163">
        <f>IF(X20 = 153, H20 + SUM(S20:S20) - SUM(T20:T20) - SUM(P20:P20) - V20,0)</f>
        <v>0</v>
      </c>
      <c r="J20" s="160" t="s">
        <v>321</v>
      </c>
      <c r="K20" s="160" t="s">
        <v>322</v>
      </c>
      <c r="L20" s="160"/>
      <c r="M20" s="160" t="s">
        <v>323</v>
      </c>
      <c r="N20" s="180" t="s">
        <v>301</v>
      </c>
      <c r="O20" s="180" t="s">
        <v>324</v>
      </c>
      <c r="P20" s="162">
        <v>700</v>
      </c>
      <c r="Q20" s="161" t="s">
        <v>313</v>
      </c>
      <c r="R20" s="160"/>
      <c r="S20" s="162"/>
      <c r="T20" s="162"/>
      <c r="U20" s="162"/>
      <c r="V20" s="181"/>
      <c r="W20" s="167"/>
      <c r="X20" s="85">
        <v>153</v>
      </c>
    </row>
    <row r="21" spans="1:24" s="85" customFormat="1" ht="75" x14ac:dyDescent="0.25">
      <c r="A21" s="159">
        <v>10</v>
      </c>
      <c r="B21" s="160" t="s">
        <v>56</v>
      </c>
      <c r="C21" s="160"/>
      <c r="D21" s="160"/>
      <c r="E21" s="161" t="s">
        <v>160</v>
      </c>
      <c r="F21" s="180" t="s">
        <v>297</v>
      </c>
      <c r="G21" s="160" t="s">
        <v>325</v>
      </c>
      <c r="H21" s="162">
        <v>9890</v>
      </c>
      <c r="I21" s="163">
        <f>IF(X21 = 154, H21 + SUM(S21:S21) - SUM(T21:T21) - SUM(P21:P21) - V21,0)</f>
        <v>0</v>
      </c>
      <c r="J21" s="160" t="s">
        <v>326</v>
      </c>
      <c r="K21" s="160" t="s">
        <v>327</v>
      </c>
      <c r="L21" s="160"/>
      <c r="M21" s="160" t="s">
        <v>343</v>
      </c>
      <c r="N21" s="180" t="s">
        <v>328</v>
      </c>
      <c r="O21" s="180" t="s">
        <v>329</v>
      </c>
      <c r="P21" s="162">
        <v>9890</v>
      </c>
      <c r="Q21" s="161" t="s">
        <v>300</v>
      </c>
      <c r="R21" s="160"/>
      <c r="S21" s="162"/>
      <c r="T21" s="162"/>
      <c r="U21" s="162"/>
      <c r="V21" s="181"/>
      <c r="W21" s="167"/>
      <c r="X21" s="85">
        <v>154</v>
      </c>
    </row>
    <row r="22" spans="1:24" s="85" customFormat="1" ht="56.25" x14ac:dyDescent="0.25">
      <c r="A22" s="159">
        <v>11</v>
      </c>
      <c r="B22" s="160" t="s">
        <v>56</v>
      </c>
      <c r="C22" s="160"/>
      <c r="D22" s="160"/>
      <c r="E22" s="161" t="s">
        <v>160</v>
      </c>
      <c r="F22" s="180" t="s">
        <v>330</v>
      </c>
      <c r="G22" s="160" t="s">
        <v>331</v>
      </c>
      <c r="H22" s="162">
        <v>12151.68</v>
      </c>
      <c r="I22" s="163">
        <f>IF(X22 = 155, H22 + SUM(S22:S22) - SUM(T22:T22) - SUM(P22:P22) - V22,0)</f>
        <v>0</v>
      </c>
      <c r="J22" s="160" t="s">
        <v>332</v>
      </c>
      <c r="K22" s="160" t="s">
        <v>333</v>
      </c>
      <c r="L22" s="160"/>
      <c r="M22" s="160" t="s">
        <v>342</v>
      </c>
      <c r="N22" s="180" t="s">
        <v>337</v>
      </c>
      <c r="O22" s="180" t="s">
        <v>312</v>
      </c>
      <c r="P22" s="162">
        <v>12151.68</v>
      </c>
      <c r="Q22" s="161" t="s">
        <v>297</v>
      </c>
      <c r="R22" s="160"/>
      <c r="S22" s="162"/>
      <c r="T22" s="162"/>
      <c r="U22" s="162"/>
      <c r="V22" s="181"/>
      <c r="W22" s="167"/>
      <c r="X22" s="85">
        <v>155</v>
      </c>
    </row>
    <row r="23" spans="1:24" s="85" customFormat="1" ht="72" customHeight="1" x14ac:dyDescent="0.25">
      <c r="A23" s="342">
        <v>12</v>
      </c>
      <c r="B23" s="361" t="s">
        <v>56</v>
      </c>
      <c r="C23" s="361"/>
      <c r="D23" s="361"/>
      <c r="E23" s="370" t="s">
        <v>160</v>
      </c>
      <c r="F23" s="345" t="s">
        <v>338</v>
      </c>
      <c r="G23" s="361" t="s">
        <v>339</v>
      </c>
      <c r="H23" s="358">
        <v>10980.22</v>
      </c>
      <c r="I23" s="373">
        <f>IF(X23 = 156, H23 + SUM(S23:S26) - SUM(T23:T26) - SUM(P23:P26) - V23,0)</f>
        <v>7729.4999999999991</v>
      </c>
      <c r="J23" s="361" t="s">
        <v>340</v>
      </c>
      <c r="K23" s="361" t="s">
        <v>341</v>
      </c>
      <c r="L23" s="361"/>
      <c r="M23" s="361" t="s">
        <v>171</v>
      </c>
      <c r="N23" s="239" t="s">
        <v>290</v>
      </c>
      <c r="O23" s="345" t="s">
        <v>329</v>
      </c>
      <c r="P23" s="230">
        <v>866.1</v>
      </c>
      <c r="Q23" s="231" t="s">
        <v>294</v>
      </c>
      <c r="R23" s="232"/>
      <c r="S23" s="230"/>
      <c r="T23" s="230"/>
      <c r="U23" s="358"/>
      <c r="V23" s="364"/>
      <c r="W23" s="367"/>
      <c r="X23" s="85">
        <v>156</v>
      </c>
    </row>
    <row r="24" spans="1:24" s="104" customFormat="1" x14ac:dyDescent="0.25">
      <c r="A24" s="343"/>
      <c r="B24" s="362"/>
      <c r="C24" s="362"/>
      <c r="D24" s="362"/>
      <c r="E24" s="371"/>
      <c r="F24" s="346"/>
      <c r="G24" s="362"/>
      <c r="H24" s="359"/>
      <c r="I24" s="374"/>
      <c r="J24" s="362"/>
      <c r="K24" s="362"/>
      <c r="L24" s="362"/>
      <c r="M24" s="362"/>
      <c r="N24" s="240" t="s">
        <v>261</v>
      </c>
      <c r="O24" s="346"/>
      <c r="P24" s="233">
        <v>721.49</v>
      </c>
      <c r="Q24" s="234" t="s">
        <v>262</v>
      </c>
      <c r="R24" s="235"/>
      <c r="S24" s="233"/>
      <c r="T24" s="233"/>
      <c r="U24" s="359"/>
      <c r="V24" s="365"/>
      <c r="W24" s="368"/>
      <c r="X24" s="104">
        <v>156</v>
      </c>
    </row>
    <row r="25" spans="1:24" s="104" customFormat="1" x14ac:dyDescent="0.25">
      <c r="A25" s="343"/>
      <c r="B25" s="362"/>
      <c r="C25" s="362"/>
      <c r="D25" s="362"/>
      <c r="E25" s="371"/>
      <c r="F25" s="346"/>
      <c r="G25" s="362"/>
      <c r="H25" s="359"/>
      <c r="I25" s="374"/>
      <c r="J25" s="362"/>
      <c r="K25" s="362"/>
      <c r="L25" s="362"/>
      <c r="M25" s="362"/>
      <c r="N25" s="240" t="s">
        <v>222</v>
      </c>
      <c r="O25" s="346"/>
      <c r="P25" s="233">
        <v>834.89</v>
      </c>
      <c r="Q25" s="234" t="s">
        <v>227</v>
      </c>
      <c r="R25" s="235"/>
      <c r="S25" s="233"/>
      <c r="T25" s="233"/>
      <c r="U25" s="359"/>
      <c r="V25" s="365"/>
      <c r="W25" s="368"/>
      <c r="X25" s="104">
        <v>156</v>
      </c>
    </row>
    <row r="26" spans="1:24" s="104" customFormat="1" x14ac:dyDescent="0.25">
      <c r="A26" s="344"/>
      <c r="B26" s="363"/>
      <c r="C26" s="363"/>
      <c r="D26" s="363"/>
      <c r="E26" s="372"/>
      <c r="F26" s="347"/>
      <c r="G26" s="363"/>
      <c r="H26" s="360"/>
      <c r="I26" s="375"/>
      <c r="J26" s="363"/>
      <c r="K26" s="363"/>
      <c r="L26" s="363"/>
      <c r="M26" s="363"/>
      <c r="N26" s="241" t="s">
        <v>356</v>
      </c>
      <c r="O26" s="347"/>
      <c r="P26" s="236">
        <v>828.24</v>
      </c>
      <c r="Q26" s="237" t="s">
        <v>359</v>
      </c>
      <c r="R26" s="238"/>
      <c r="S26" s="236"/>
      <c r="T26" s="236"/>
      <c r="U26" s="360"/>
      <c r="V26" s="366"/>
      <c r="W26" s="369"/>
      <c r="X26" s="104">
        <v>156</v>
      </c>
    </row>
    <row r="27" spans="1:24" s="85" customFormat="1" ht="93.75" x14ac:dyDescent="0.25">
      <c r="A27" s="215">
        <v>13</v>
      </c>
      <c r="B27" s="216" t="s">
        <v>56</v>
      </c>
      <c r="C27" s="216"/>
      <c r="D27" s="216"/>
      <c r="E27" s="217" t="s">
        <v>160</v>
      </c>
      <c r="F27" s="254" t="s">
        <v>369</v>
      </c>
      <c r="G27" s="216" t="s">
        <v>370</v>
      </c>
      <c r="H27" s="218">
        <v>9400</v>
      </c>
      <c r="I27" s="219">
        <f>IF(X27 = 157, H27 + SUM(S27:S27) - SUM(T27:T27) - SUM(P27:P27) - V27,0)</f>
        <v>0</v>
      </c>
      <c r="J27" s="216" t="s">
        <v>375</v>
      </c>
      <c r="K27" s="216" t="s">
        <v>371</v>
      </c>
      <c r="L27" s="216"/>
      <c r="M27" s="216" t="s">
        <v>372</v>
      </c>
      <c r="N27" s="254" t="s">
        <v>373</v>
      </c>
      <c r="O27" s="254" t="s">
        <v>374</v>
      </c>
      <c r="P27" s="218">
        <v>9400</v>
      </c>
      <c r="Q27" s="217" t="s">
        <v>368</v>
      </c>
      <c r="R27" s="216"/>
      <c r="S27" s="218"/>
      <c r="T27" s="218"/>
      <c r="U27" s="218"/>
      <c r="V27" s="255"/>
      <c r="W27" s="223"/>
      <c r="X27" s="85">
        <v>157</v>
      </c>
    </row>
    <row r="28" spans="1:24" s="85" customFormat="1" ht="93.75" x14ac:dyDescent="0.25">
      <c r="A28" s="215">
        <v>14</v>
      </c>
      <c r="B28" s="216" t="s">
        <v>56</v>
      </c>
      <c r="C28" s="216"/>
      <c r="D28" s="216"/>
      <c r="E28" s="217" t="s">
        <v>376</v>
      </c>
      <c r="F28" s="254" t="s">
        <v>361</v>
      </c>
      <c r="G28" s="216" t="s">
        <v>377</v>
      </c>
      <c r="H28" s="218">
        <v>5000</v>
      </c>
      <c r="I28" s="219">
        <f>IF(X28 = 158, H28 + SUM(S28:S28) - SUM(T28:T28) - SUM(P28:P28) - V28,0)</f>
        <v>0</v>
      </c>
      <c r="J28" s="216" t="s">
        <v>378</v>
      </c>
      <c r="K28" s="216" t="s">
        <v>153</v>
      </c>
      <c r="L28" s="216"/>
      <c r="M28" s="216" t="s">
        <v>379</v>
      </c>
      <c r="N28" s="254" t="s">
        <v>361</v>
      </c>
      <c r="O28" s="254" t="s">
        <v>380</v>
      </c>
      <c r="P28" s="218">
        <v>5000</v>
      </c>
      <c r="Q28" s="217" t="s">
        <v>358</v>
      </c>
      <c r="R28" s="216"/>
      <c r="S28" s="218"/>
      <c r="T28" s="218"/>
      <c r="U28" s="218"/>
      <c r="V28" s="255"/>
      <c r="W28" s="223"/>
      <c r="X28" s="85">
        <v>158</v>
      </c>
    </row>
    <row r="29" spans="1:24" s="85" customFormat="1" ht="93.75" x14ac:dyDescent="0.25">
      <c r="A29" s="215">
        <v>15</v>
      </c>
      <c r="B29" s="216" t="s">
        <v>56</v>
      </c>
      <c r="C29" s="216"/>
      <c r="D29" s="216"/>
      <c r="E29" s="217" t="s">
        <v>381</v>
      </c>
      <c r="F29" s="254" t="s">
        <v>358</v>
      </c>
      <c r="G29" s="216" t="s">
        <v>389</v>
      </c>
      <c r="H29" s="218">
        <v>4000</v>
      </c>
      <c r="I29" s="219">
        <f>IF(X29 = 159, H29 + SUM(S29:S29) - SUM(T29:T29) - SUM(P29:P29) - V29,0)</f>
        <v>0</v>
      </c>
      <c r="J29" s="216" t="s">
        <v>382</v>
      </c>
      <c r="K29" s="216" t="s">
        <v>383</v>
      </c>
      <c r="L29" s="216"/>
      <c r="M29" s="216" t="s">
        <v>384</v>
      </c>
      <c r="N29" s="254" t="s">
        <v>358</v>
      </c>
      <c r="O29" s="254" t="s">
        <v>374</v>
      </c>
      <c r="P29" s="218">
        <v>4000</v>
      </c>
      <c r="Q29" s="217" t="s">
        <v>385</v>
      </c>
      <c r="R29" s="216"/>
      <c r="S29" s="218"/>
      <c r="T29" s="218"/>
      <c r="U29" s="218"/>
      <c r="V29" s="255"/>
      <c r="W29" s="223"/>
      <c r="X29" s="85">
        <v>159</v>
      </c>
    </row>
    <row r="30" spans="1:24" s="85" customFormat="1" ht="56.25" x14ac:dyDescent="0.25">
      <c r="A30" s="215">
        <v>16</v>
      </c>
      <c r="B30" s="216" t="s">
        <v>56</v>
      </c>
      <c r="C30" s="216"/>
      <c r="D30" s="216"/>
      <c r="E30" s="217" t="s">
        <v>386</v>
      </c>
      <c r="F30" s="254" t="s">
        <v>387</v>
      </c>
      <c r="G30" s="216" t="s">
        <v>388</v>
      </c>
      <c r="H30" s="218">
        <v>3400</v>
      </c>
      <c r="I30" s="219">
        <f>IF(X30 = 160, H30 + SUM(S30:S30) - SUM(T30:T30) - SUM(P30:P30) - V30,0)</f>
        <v>0</v>
      </c>
      <c r="J30" s="216" t="s">
        <v>390</v>
      </c>
      <c r="K30" s="216" t="s">
        <v>391</v>
      </c>
      <c r="L30" s="216"/>
      <c r="M30" s="216" t="s">
        <v>393</v>
      </c>
      <c r="N30" s="254" t="s">
        <v>387</v>
      </c>
      <c r="O30" s="254" t="s">
        <v>392</v>
      </c>
      <c r="P30" s="218">
        <v>3400</v>
      </c>
      <c r="Q30" s="217" t="s">
        <v>357</v>
      </c>
      <c r="R30" s="216"/>
      <c r="S30" s="218"/>
      <c r="T30" s="218"/>
      <c r="U30" s="218"/>
      <c r="V30" s="255"/>
      <c r="W30" s="223"/>
      <c r="X30" s="85">
        <v>160</v>
      </c>
    </row>
    <row r="31" spans="1:24" s="85" customFormat="1" ht="56.25" x14ac:dyDescent="0.25">
      <c r="A31" s="215">
        <v>17</v>
      </c>
      <c r="B31" s="216" t="s">
        <v>56</v>
      </c>
      <c r="C31" s="216"/>
      <c r="D31" s="216"/>
      <c r="E31" s="217" t="s">
        <v>394</v>
      </c>
      <c r="F31" s="254" t="s">
        <v>387</v>
      </c>
      <c r="G31" s="216" t="s">
        <v>395</v>
      </c>
      <c r="H31" s="218">
        <v>3701.7</v>
      </c>
      <c r="I31" s="219">
        <f>IF(X31 = 161, H31 + SUM(S31:S31) - SUM(T31:T31) - SUM(P31:P31) - V31,0)</f>
        <v>0</v>
      </c>
      <c r="J31" s="216" t="s">
        <v>390</v>
      </c>
      <c r="K31" s="216" t="s">
        <v>391</v>
      </c>
      <c r="L31" s="216"/>
      <c r="M31" s="216" t="s">
        <v>393</v>
      </c>
      <c r="N31" s="254">
        <v>45775</v>
      </c>
      <c r="O31" s="254" t="s">
        <v>392</v>
      </c>
      <c r="P31" s="218">
        <v>3701.7</v>
      </c>
      <c r="Q31" s="217">
        <v>45782</v>
      </c>
      <c r="R31" s="216"/>
      <c r="S31" s="218"/>
      <c r="T31" s="218"/>
      <c r="U31" s="218"/>
      <c r="V31" s="255"/>
      <c r="W31" s="223"/>
      <c r="X31" s="85">
        <v>161</v>
      </c>
    </row>
    <row r="32" spans="1:24" s="85" customFormat="1" ht="93.75" x14ac:dyDescent="0.25">
      <c r="A32" s="215">
        <v>18</v>
      </c>
      <c r="B32" s="216" t="s">
        <v>56</v>
      </c>
      <c r="C32" s="216"/>
      <c r="D32" s="216"/>
      <c r="E32" s="217" t="s">
        <v>396</v>
      </c>
      <c r="F32" s="254" t="s">
        <v>299</v>
      </c>
      <c r="G32" s="216" t="s">
        <v>397</v>
      </c>
      <c r="H32" s="218">
        <v>52595</v>
      </c>
      <c r="I32" s="219">
        <f>IF(X32 = 162, H32 + SUM(S32:S32) - SUM(T32:T32) - SUM(P32:P32) - V32,0)</f>
        <v>0</v>
      </c>
      <c r="J32" s="216" t="s">
        <v>398</v>
      </c>
      <c r="K32" s="216" t="s">
        <v>170</v>
      </c>
      <c r="L32" s="216"/>
      <c r="M32" s="216" t="s">
        <v>399</v>
      </c>
      <c r="N32" s="254" t="s">
        <v>360</v>
      </c>
      <c r="O32" s="254" t="s">
        <v>400</v>
      </c>
      <c r="P32" s="218">
        <v>52595</v>
      </c>
      <c r="Q32" s="217" t="s">
        <v>362</v>
      </c>
      <c r="R32" s="216"/>
      <c r="S32" s="218"/>
      <c r="T32" s="218"/>
      <c r="U32" s="218"/>
      <c r="V32" s="255"/>
      <c r="W32" s="223"/>
      <c r="X32" s="85">
        <v>162</v>
      </c>
    </row>
    <row r="33" spans="1:24" s="85" customFormat="1" ht="93.75" x14ac:dyDescent="0.25">
      <c r="A33" s="215">
        <v>19</v>
      </c>
      <c r="B33" s="216" t="s">
        <v>56</v>
      </c>
      <c r="C33" s="216"/>
      <c r="D33" s="216"/>
      <c r="E33" s="217" t="s">
        <v>401</v>
      </c>
      <c r="F33" s="254" t="s">
        <v>299</v>
      </c>
      <c r="G33" s="216" t="s">
        <v>397</v>
      </c>
      <c r="H33" s="218">
        <v>2916</v>
      </c>
      <c r="I33" s="219">
        <f>IF(X33 = 163, H33 + SUM(S33:S33) - SUM(T33:T33) - SUM(P33:P33) - V33,0)</f>
        <v>0</v>
      </c>
      <c r="J33" s="216" t="s">
        <v>398</v>
      </c>
      <c r="K33" s="216" t="s">
        <v>170</v>
      </c>
      <c r="L33" s="216"/>
      <c r="M33" s="216" t="s">
        <v>399</v>
      </c>
      <c r="N33" s="254" t="s">
        <v>360</v>
      </c>
      <c r="O33" s="254" t="s">
        <v>400</v>
      </c>
      <c r="P33" s="218">
        <v>2916</v>
      </c>
      <c r="Q33" s="217" t="s">
        <v>362</v>
      </c>
      <c r="R33" s="216"/>
      <c r="S33" s="218"/>
      <c r="T33" s="218"/>
      <c r="U33" s="218"/>
      <c r="V33" s="255"/>
      <c r="W33" s="223"/>
      <c r="X33" s="85">
        <v>163</v>
      </c>
    </row>
    <row r="34" spans="1:24" x14ac:dyDescent="0.25">
      <c r="X34" s="2">
        <v>164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75">
    <mergeCell ref="U23:U26"/>
    <mergeCell ref="B23:B26"/>
    <mergeCell ref="V23:V26"/>
    <mergeCell ref="C23:C26"/>
    <mergeCell ref="W23:W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A23:A26"/>
    <mergeCell ref="O23:O26"/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W13:W14"/>
    <mergeCell ref="A11:A12"/>
    <mergeCell ref="O11:O12"/>
    <mergeCell ref="U11:U12"/>
    <mergeCell ref="B11:B12"/>
    <mergeCell ref="V11:V12"/>
    <mergeCell ref="C11:C12"/>
    <mergeCell ref="A3:E3"/>
    <mergeCell ref="A9:A10"/>
    <mergeCell ref="O9:O10"/>
    <mergeCell ref="U9:U10"/>
    <mergeCell ref="B9:B10"/>
    <mergeCell ref="V9:V10"/>
    <mergeCell ref="C9:C10"/>
    <mergeCell ref="S2:U2"/>
    <mergeCell ref="N2:O2"/>
    <mergeCell ref="J4:K4"/>
    <mergeCell ref="M4:N4"/>
    <mergeCell ref="O4:P4"/>
    <mergeCell ref="K2:M2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3:A14"/>
    <mergeCell ref="O13:O14"/>
    <mergeCell ref="U13:U14"/>
    <mergeCell ref="B13:B14"/>
    <mergeCell ref="V13:V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11"/>
  <sheetViews>
    <sheetView showGridLines="0" topLeftCell="H1" zoomScale="60" zoomScaleNormal="60" workbookViewId="0">
      <pane ySplit="8" topLeftCell="A101" activePane="bottomLeft" state="frozen"/>
      <selection pane="bottomLeft" activeCell="Q111" sqref="Q111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436" t="s">
        <v>24</v>
      </c>
      <c r="G2" s="437"/>
      <c r="H2" s="80">
        <f>SUM(H9:H9999)</f>
        <v>2309863.63</v>
      </c>
      <c r="I2" s="68"/>
      <c r="N2" s="331" t="s">
        <v>137</v>
      </c>
      <c r="O2" s="333"/>
      <c r="P2" s="69">
        <f>SUM(P9:P9999)</f>
        <v>1401876.1899999997</v>
      </c>
      <c r="R2" s="68"/>
      <c r="S2" s="331" t="s">
        <v>45</v>
      </c>
      <c r="T2" s="332"/>
      <c r="U2" s="333"/>
      <c r="V2" s="70">
        <f>SUM(V9:V9999)</f>
        <v>43324.479999999996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424">
        <v>1</v>
      </c>
      <c r="B9" s="379" t="s">
        <v>56</v>
      </c>
      <c r="C9" s="379"/>
      <c r="D9" s="379"/>
      <c r="E9" s="379" t="s">
        <v>152</v>
      </c>
      <c r="F9" s="388" t="s">
        <v>163</v>
      </c>
      <c r="G9" s="391" t="s">
        <v>164</v>
      </c>
      <c r="H9" s="376">
        <v>431034.73</v>
      </c>
      <c r="I9" s="394">
        <f>IF(X9 = 156, H9 + SUM(S9:S20) - SUM(T9:T20) - SUM(P9:P20) - V9,0)</f>
        <v>83400.51999999996</v>
      </c>
      <c r="J9" s="397">
        <v>2308119595</v>
      </c>
      <c r="K9" s="400" t="s">
        <v>165</v>
      </c>
      <c r="L9" s="379"/>
      <c r="M9" s="379" t="s">
        <v>166</v>
      </c>
      <c r="N9" s="224">
        <v>45717</v>
      </c>
      <c r="O9" s="388" t="s">
        <v>167</v>
      </c>
      <c r="P9" s="228">
        <v>22821.16</v>
      </c>
      <c r="Q9" s="209" t="s">
        <v>258</v>
      </c>
      <c r="R9" s="210"/>
      <c r="S9" s="211"/>
      <c r="T9" s="211"/>
      <c r="U9" s="376"/>
      <c r="V9" s="382"/>
      <c r="W9" s="385"/>
      <c r="X9" s="85">
        <v>156</v>
      </c>
    </row>
    <row r="10" spans="1:24" s="104" customFormat="1" x14ac:dyDescent="0.25">
      <c r="A10" s="425"/>
      <c r="B10" s="380"/>
      <c r="C10" s="380"/>
      <c r="D10" s="380"/>
      <c r="E10" s="380"/>
      <c r="F10" s="389"/>
      <c r="G10" s="392"/>
      <c r="H10" s="377"/>
      <c r="I10" s="395"/>
      <c r="J10" s="398"/>
      <c r="K10" s="401"/>
      <c r="L10" s="380"/>
      <c r="M10" s="380"/>
      <c r="N10" s="225">
        <v>45689</v>
      </c>
      <c r="O10" s="389"/>
      <c r="P10" s="227">
        <v>23926.44</v>
      </c>
      <c r="Q10" s="212" t="s">
        <v>259</v>
      </c>
      <c r="R10" s="213"/>
      <c r="S10" s="214"/>
      <c r="T10" s="214"/>
      <c r="U10" s="377"/>
      <c r="V10" s="383"/>
      <c r="W10" s="386"/>
      <c r="X10" s="104">
        <v>156</v>
      </c>
    </row>
    <row r="11" spans="1:24" s="104" customFormat="1" x14ac:dyDescent="0.25">
      <c r="A11" s="425"/>
      <c r="B11" s="380"/>
      <c r="C11" s="380"/>
      <c r="D11" s="380"/>
      <c r="E11" s="380"/>
      <c r="F11" s="389"/>
      <c r="G11" s="392"/>
      <c r="H11" s="377"/>
      <c r="I11" s="395"/>
      <c r="J11" s="398"/>
      <c r="K11" s="401"/>
      <c r="L11" s="380"/>
      <c r="M11" s="380"/>
      <c r="N11" s="225">
        <v>45658</v>
      </c>
      <c r="O11" s="389"/>
      <c r="P11" s="227">
        <v>26239.72</v>
      </c>
      <c r="Q11" s="212" t="s">
        <v>181</v>
      </c>
      <c r="R11" s="213"/>
      <c r="S11" s="214"/>
      <c r="T11" s="214"/>
      <c r="U11" s="377"/>
      <c r="V11" s="383"/>
      <c r="W11" s="386"/>
      <c r="X11" s="104">
        <v>156</v>
      </c>
    </row>
    <row r="12" spans="1:24" s="104" customFormat="1" x14ac:dyDescent="0.25">
      <c r="A12" s="425"/>
      <c r="B12" s="380"/>
      <c r="C12" s="380"/>
      <c r="D12" s="380"/>
      <c r="E12" s="380"/>
      <c r="F12" s="389"/>
      <c r="G12" s="392"/>
      <c r="H12" s="377"/>
      <c r="I12" s="395"/>
      <c r="J12" s="398"/>
      <c r="K12" s="401"/>
      <c r="L12" s="380"/>
      <c r="M12" s="380"/>
      <c r="N12" s="225">
        <v>45689</v>
      </c>
      <c r="O12" s="389"/>
      <c r="P12" s="227">
        <v>30419.5</v>
      </c>
      <c r="Q12" s="212" t="s">
        <v>260</v>
      </c>
      <c r="R12" s="213"/>
      <c r="S12" s="214"/>
      <c r="T12" s="214"/>
      <c r="U12" s="377"/>
      <c r="V12" s="383"/>
      <c r="W12" s="386"/>
      <c r="X12" s="104">
        <v>156</v>
      </c>
    </row>
    <row r="13" spans="1:24" s="104" customFormat="1" x14ac:dyDescent="0.25">
      <c r="A13" s="425"/>
      <c r="B13" s="380"/>
      <c r="C13" s="380"/>
      <c r="D13" s="380"/>
      <c r="E13" s="380"/>
      <c r="F13" s="389"/>
      <c r="G13" s="392"/>
      <c r="H13" s="377"/>
      <c r="I13" s="395"/>
      <c r="J13" s="398"/>
      <c r="K13" s="401"/>
      <c r="L13" s="380"/>
      <c r="M13" s="380"/>
      <c r="N13" s="225">
        <v>45688</v>
      </c>
      <c r="O13" s="389"/>
      <c r="P13" s="227">
        <v>49822.09</v>
      </c>
      <c r="Q13" s="212" t="s">
        <v>259</v>
      </c>
      <c r="R13" s="213"/>
      <c r="S13" s="214"/>
      <c r="T13" s="214"/>
      <c r="U13" s="377"/>
      <c r="V13" s="383"/>
      <c r="W13" s="386"/>
      <c r="X13" s="104">
        <v>156</v>
      </c>
    </row>
    <row r="14" spans="1:24" s="104" customFormat="1" x14ac:dyDescent="0.25">
      <c r="A14" s="425"/>
      <c r="B14" s="380"/>
      <c r="C14" s="380"/>
      <c r="D14" s="380"/>
      <c r="E14" s="380"/>
      <c r="F14" s="389"/>
      <c r="G14" s="392"/>
      <c r="H14" s="377"/>
      <c r="I14" s="395"/>
      <c r="J14" s="398"/>
      <c r="K14" s="401"/>
      <c r="L14" s="380"/>
      <c r="M14" s="380"/>
      <c r="N14" s="225">
        <v>45716</v>
      </c>
      <c r="O14" s="389"/>
      <c r="P14" s="227">
        <v>41231.519999999997</v>
      </c>
      <c r="Q14" s="212" t="s">
        <v>265</v>
      </c>
      <c r="R14" s="213"/>
      <c r="S14" s="214"/>
      <c r="T14" s="214"/>
      <c r="U14" s="377"/>
      <c r="V14" s="383"/>
      <c r="W14" s="386"/>
      <c r="X14" s="104">
        <v>156</v>
      </c>
    </row>
    <row r="15" spans="1:24" s="104" customFormat="1" x14ac:dyDescent="0.25">
      <c r="A15" s="425"/>
      <c r="B15" s="380"/>
      <c r="C15" s="380"/>
      <c r="D15" s="380"/>
      <c r="E15" s="380"/>
      <c r="F15" s="389"/>
      <c r="G15" s="392"/>
      <c r="H15" s="377"/>
      <c r="I15" s="395"/>
      <c r="J15" s="398"/>
      <c r="K15" s="401"/>
      <c r="L15" s="380"/>
      <c r="M15" s="380"/>
      <c r="N15" s="225">
        <v>45717</v>
      </c>
      <c r="O15" s="389"/>
      <c r="P15" s="227">
        <v>41616.769999999997</v>
      </c>
      <c r="Q15" s="212" t="s">
        <v>265</v>
      </c>
      <c r="R15" s="213"/>
      <c r="S15" s="214"/>
      <c r="T15" s="214"/>
      <c r="U15" s="377"/>
      <c r="V15" s="383"/>
      <c r="W15" s="386"/>
      <c r="X15" s="104">
        <v>156</v>
      </c>
    </row>
    <row r="16" spans="1:24" s="104" customFormat="1" x14ac:dyDescent="0.25">
      <c r="A16" s="425"/>
      <c r="B16" s="380"/>
      <c r="C16" s="380"/>
      <c r="D16" s="380"/>
      <c r="E16" s="380"/>
      <c r="F16" s="389"/>
      <c r="G16" s="392"/>
      <c r="H16" s="377"/>
      <c r="I16" s="395"/>
      <c r="J16" s="398"/>
      <c r="K16" s="401"/>
      <c r="L16" s="380"/>
      <c r="M16" s="380"/>
      <c r="N16" s="225">
        <v>45748</v>
      </c>
      <c r="O16" s="389"/>
      <c r="P16" s="227">
        <v>31219.94</v>
      </c>
      <c r="Q16" s="212" t="s">
        <v>297</v>
      </c>
      <c r="R16" s="213"/>
      <c r="S16" s="214"/>
      <c r="T16" s="214"/>
      <c r="U16" s="377"/>
      <c r="V16" s="383"/>
      <c r="W16" s="386"/>
      <c r="X16" s="104">
        <v>156</v>
      </c>
    </row>
    <row r="17" spans="1:24" s="104" customFormat="1" x14ac:dyDescent="0.25">
      <c r="A17" s="425"/>
      <c r="B17" s="380"/>
      <c r="C17" s="380"/>
      <c r="D17" s="380"/>
      <c r="E17" s="380"/>
      <c r="F17" s="389"/>
      <c r="G17" s="392"/>
      <c r="H17" s="377"/>
      <c r="I17" s="395"/>
      <c r="J17" s="398"/>
      <c r="K17" s="401"/>
      <c r="L17" s="380"/>
      <c r="M17" s="380"/>
      <c r="N17" s="225">
        <v>45748</v>
      </c>
      <c r="O17" s="389"/>
      <c r="P17" s="227">
        <v>22457.84</v>
      </c>
      <c r="Q17" s="212" t="s">
        <v>301</v>
      </c>
      <c r="R17" s="213"/>
      <c r="S17" s="214"/>
      <c r="T17" s="214"/>
      <c r="U17" s="377"/>
      <c r="V17" s="383"/>
      <c r="W17" s="386"/>
      <c r="X17" s="104">
        <v>156</v>
      </c>
    </row>
    <row r="18" spans="1:24" s="104" customFormat="1" x14ac:dyDescent="0.25">
      <c r="A18" s="425"/>
      <c r="B18" s="380"/>
      <c r="C18" s="380"/>
      <c r="D18" s="380"/>
      <c r="E18" s="380"/>
      <c r="F18" s="389"/>
      <c r="G18" s="392"/>
      <c r="H18" s="377"/>
      <c r="I18" s="395"/>
      <c r="J18" s="398"/>
      <c r="K18" s="401"/>
      <c r="L18" s="380"/>
      <c r="M18" s="380"/>
      <c r="N18" s="225">
        <v>45778</v>
      </c>
      <c r="O18" s="389"/>
      <c r="P18" s="227">
        <v>16846.63</v>
      </c>
      <c r="Q18" s="212" t="s">
        <v>357</v>
      </c>
      <c r="R18" s="213"/>
      <c r="S18" s="214"/>
      <c r="T18" s="214"/>
      <c r="U18" s="377"/>
      <c r="V18" s="383"/>
      <c r="W18" s="386"/>
      <c r="X18" s="104">
        <v>156</v>
      </c>
    </row>
    <row r="19" spans="1:24" s="104" customFormat="1" x14ac:dyDescent="0.25">
      <c r="A19" s="425"/>
      <c r="B19" s="380"/>
      <c r="C19" s="380"/>
      <c r="D19" s="380"/>
      <c r="E19" s="380"/>
      <c r="F19" s="389"/>
      <c r="G19" s="392"/>
      <c r="H19" s="377"/>
      <c r="I19" s="395"/>
      <c r="J19" s="398"/>
      <c r="K19" s="401"/>
      <c r="L19" s="380"/>
      <c r="M19" s="380"/>
      <c r="N19" s="225">
        <v>45777</v>
      </c>
      <c r="O19" s="389"/>
      <c r="P19" s="227">
        <v>9744.89</v>
      </c>
      <c r="Q19" s="212" t="s">
        <v>358</v>
      </c>
      <c r="R19" s="213"/>
      <c r="S19" s="214"/>
      <c r="T19" s="214"/>
      <c r="U19" s="377"/>
      <c r="V19" s="383"/>
      <c r="W19" s="386"/>
      <c r="X19" s="104">
        <v>156</v>
      </c>
    </row>
    <row r="20" spans="1:24" s="104" customFormat="1" x14ac:dyDescent="0.25">
      <c r="A20" s="426"/>
      <c r="B20" s="381"/>
      <c r="C20" s="381"/>
      <c r="D20" s="381"/>
      <c r="E20" s="381"/>
      <c r="F20" s="390"/>
      <c r="G20" s="393"/>
      <c r="H20" s="378"/>
      <c r="I20" s="396"/>
      <c r="J20" s="399"/>
      <c r="K20" s="402"/>
      <c r="L20" s="381"/>
      <c r="M20" s="381"/>
      <c r="N20" s="226">
        <v>45778</v>
      </c>
      <c r="O20" s="390"/>
      <c r="P20" s="229">
        <v>31287.71</v>
      </c>
      <c r="Q20" s="221" t="s">
        <v>358</v>
      </c>
      <c r="R20" s="222"/>
      <c r="S20" s="220"/>
      <c r="T20" s="220"/>
      <c r="U20" s="378"/>
      <c r="V20" s="384"/>
      <c r="W20" s="387"/>
      <c r="X20" s="104">
        <v>156</v>
      </c>
    </row>
    <row r="21" spans="1:24" s="85" customFormat="1" ht="72" customHeight="1" x14ac:dyDescent="0.25">
      <c r="A21" s="515">
        <v>2</v>
      </c>
      <c r="B21" s="484" t="s">
        <v>56</v>
      </c>
      <c r="C21" s="484"/>
      <c r="D21" s="484"/>
      <c r="E21" s="484" t="s">
        <v>168</v>
      </c>
      <c r="F21" s="487" t="s">
        <v>163</v>
      </c>
      <c r="G21" s="490" t="s">
        <v>169</v>
      </c>
      <c r="H21" s="493">
        <v>104228</v>
      </c>
      <c r="I21" s="496">
        <f>IF(X21 = 157, H21 + SUM(S21:S24) - SUM(T21:T24) - SUM(P21:P24) - V21,0)</f>
        <v>86172</v>
      </c>
      <c r="J21" s="518">
        <v>2353006498</v>
      </c>
      <c r="K21" s="521" t="s">
        <v>170</v>
      </c>
      <c r="L21" s="484"/>
      <c r="M21" s="484" t="s">
        <v>171</v>
      </c>
      <c r="N21" s="251" t="s">
        <v>261</v>
      </c>
      <c r="O21" s="487" t="s">
        <v>172</v>
      </c>
      <c r="P21" s="242">
        <v>4440</v>
      </c>
      <c r="Q21" s="243" t="s">
        <v>263</v>
      </c>
      <c r="R21" s="244"/>
      <c r="S21" s="242"/>
      <c r="T21" s="242"/>
      <c r="U21" s="493"/>
      <c r="V21" s="512"/>
      <c r="W21" s="481"/>
      <c r="X21" s="85">
        <v>157</v>
      </c>
    </row>
    <row r="22" spans="1:24" s="104" customFormat="1" x14ac:dyDescent="0.25">
      <c r="A22" s="516"/>
      <c r="B22" s="485"/>
      <c r="C22" s="485"/>
      <c r="D22" s="485"/>
      <c r="E22" s="485"/>
      <c r="F22" s="488"/>
      <c r="G22" s="491"/>
      <c r="H22" s="494"/>
      <c r="I22" s="497"/>
      <c r="J22" s="519"/>
      <c r="K22" s="522"/>
      <c r="L22" s="485"/>
      <c r="M22" s="485"/>
      <c r="N22" s="252" t="s">
        <v>222</v>
      </c>
      <c r="O22" s="488"/>
      <c r="P22" s="245">
        <v>2516</v>
      </c>
      <c r="Q22" s="246" t="s">
        <v>264</v>
      </c>
      <c r="R22" s="247"/>
      <c r="S22" s="245"/>
      <c r="T22" s="245"/>
      <c r="U22" s="494"/>
      <c r="V22" s="513"/>
      <c r="W22" s="482"/>
      <c r="X22" s="104">
        <v>157</v>
      </c>
    </row>
    <row r="23" spans="1:24" s="104" customFormat="1" x14ac:dyDescent="0.25">
      <c r="A23" s="516"/>
      <c r="B23" s="485"/>
      <c r="C23" s="485"/>
      <c r="D23" s="485"/>
      <c r="E23" s="485"/>
      <c r="F23" s="488"/>
      <c r="G23" s="491"/>
      <c r="H23" s="494"/>
      <c r="I23" s="497"/>
      <c r="J23" s="519"/>
      <c r="K23" s="522"/>
      <c r="L23" s="485"/>
      <c r="M23" s="485"/>
      <c r="N23" s="252" t="s">
        <v>290</v>
      </c>
      <c r="O23" s="488"/>
      <c r="P23" s="245">
        <v>4884</v>
      </c>
      <c r="Q23" s="246" t="s">
        <v>294</v>
      </c>
      <c r="R23" s="247"/>
      <c r="S23" s="245"/>
      <c r="T23" s="245"/>
      <c r="U23" s="494"/>
      <c r="V23" s="513"/>
      <c r="W23" s="482"/>
      <c r="X23" s="104">
        <v>157</v>
      </c>
    </row>
    <row r="24" spans="1:24" s="104" customFormat="1" x14ac:dyDescent="0.25">
      <c r="A24" s="517"/>
      <c r="B24" s="486"/>
      <c r="C24" s="486"/>
      <c r="D24" s="486"/>
      <c r="E24" s="486"/>
      <c r="F24" s="489"/>
      <c r="G24" s="492"/>
      <c r="H24" s="495"/>
      <c r="I24" s="498"/>
      <c r="J24" s="520"/>
      <c r="K24" s="523"/>
      <c r="L24" s="486"/>
      <c r="M24" s="486"/>
      <c r="N24" s="253" t="s">
        <v>356</v>
      </c>
      <c r="O24" s="489"/>
      <c r="P24" s="248">
        <v>6216</v>
      </c>
      <c r="Q24" s="249" t="s">
        <v>361</v>
      </c>
      <c r="R24" s="250"/>
      <c r="S24" s="248"/>
      <c r="T24" s="248"/>
      <c r="U24" s="495"/>
      <c r="V24" s="514"/>
      <c r="W24" s="483"/>
      <c r="X24" s="104">
        <v>157</v>
      </c>
    </row>
    <row r="25" spans="1:24" s="85" customFormat="1" ht="54" customHeight="1" x14ac:dyDescent="0.25">
      <c r="A25" s="515">
        <v>3</v>
      </c>
      <c r="B25" s="484" t="s">
        <v>56</v>
      </c>
      <c r="C25" s="484"/>
      <c r="D25" s="484"/>
      <c r="E25" s="484" t="s">
        <v>173</v>
      </c>
      <c r="F25" s="487" t="s">
        <v>163</v>
      </c>
      <c r="G25" s="490" t="s">
        <v>174</v>
      </c>
      <c r="H25" s="493">
        <v>50565.84</v>
      </c>
      <c r="I25" s="496">
        <f>IF(X25 = 158, H25 + SUM(S25:S28) - SUM(T25:T28) - SUM(P25:P28) - V25,0)</f>
        <v>34396.439999999995</v>
      </c>
      <c r="J25" s="518">
        <v>2308131994</v>
      </c>
      <c r="K25" s="521" t="s">
        <v>155</v>
      </c>
      <c r="L25" s="484"/>
      <c r="M25" s="484" t="s">
        <v>171</v>
      </c>
      <c r="N25" s="251">
        <v>45688</v>
      </c>
      <c r="O25" s="487" t="s">
        <v>175</v>
      </c>
      <c r="P25" s="242">
        <v>4042.35</v>
      </c>
      <c r="Q25" s="243" t="s">
        <v>227</v>
      </c>
      <c r="R25" s="244"/>
      <c r="S25" s="242"/>
      <c r="T25" s="242"/>
      <c r="U25" s="493"/>
      <c r="V25" s="512"/>
      <c r="W25" s="481"/>
      <c r="X25" s="85">
        <v>158</v>
      </c>
    </row>
    <row r="26" spans="1:24" s="104" customFormat="1" x14ac:dyDescent="0.25">
      <c r="A26" s="516"/>
      <c r="B26" s="485"/>
      <c r="C26" s="485"/>
      <c r="D26" s="485"/>
      <c r="E26" s="485"/>
      <c r="F26" s="488"/>
      <c r="G26" s="491"/>
      <c r="H26" s="494"/>
      <c r="I26" s="497"/>
      <c r="J26" s="519"/>
      <c r="K26" s="522"/>
      <c r="L26" s="485"/>
      <c r="M26" s="485"/>
      <c r="N26" s="252" t="s">
        <v>261</v>
      </c>
      <c r="O26" s="488"/>
      <c r="P26" s="245">
        <v>4042.35</v>
      </c>
      <c r="Q26" s="246" t="s">
        <v>262</v>
      </c>
      <c r="R26" s="247"/>
      <c r="S26" s="245"/>
      <c r="T26" s="245"/>
      <c r="U26" s="494"/>
      <c r="V26" s="513"/>
      <c r="W26" s="482"/>
      <c r="X26" s="104">
        <v>158</v>
      </c>
    </row>
    <row r="27" spans="1:24" s="104" customFormat="1" x14ac:dyDescent="0.25">
      <c r="A27" s="516"/>
      <c r="B27" s="485"/>
      <c r="C27" s="485"/>
      <c r="D27" s="485"/>
      <c r="E27" s="485"/>
      <c r="F27" s="488"/>
      <c r="G27" s="491"/>
      <c r="H27" s="494"/>
      <c r="I27" s="497"/>
      <c r="J27" s="519"/>
      <c r="K27" s="522"/>
      <c r="L27" s="485"/>
      <c r="M27" s="485"/>
      <c r="N27" s="252" t="s">
        <v>290</v>
      </c>
      <c r="O27" s="488"/>
      <c r="P27" s="245">
        <v>4042.35</v>
      </c>
      <c r="Q27" s="246" t="s">
        <v>300</v>
      </c>
      <c r="R27" s="247"/>
      <c r="S27" s="245"/>
      <c r="T27" s="245"/>
      <c r="U27" s="494"/>
      <c r="V27" s="513"/>
      <c r="W27" s="482"/>
      <c r="X27" s="104">
        <v>158</v>
      </c>
    </row>
    <row r="28" spans="1:24" s="104" customFormat="1" x14ac:dyDescent="0.25">
      <c r="A28" s="517"/>
      <c r="B28" s="486"/>
      <c r="C28" s="486"/>
      <c r="D28" s="486"/>
      <c r="E28" s="486"/>
      <c r="F28" s="489"/>
      <c r="G28" s="492"/>
      <c r="H28" s="495"/>
      <c r="I28" s="498"/>
      <c r="J28" s="520"/>
      <c r="K28" s="523"/>
      <c r="L28" s="486"/>
      <c r="M28" s="486"/>
      <c r="N28" s="253" t="s">
        <v>356</v>
      </c>
      <c r="O28" s="489"/>
      <c r="P28" s="248">
        <v>4042.35</v>
      </c>
      <c r="Q28" s="249" t="s">
        <v>360</v>
      </c>
      <c r="R28" s="250"/>
      <c r="S28" s="248"/>
      <c r="T28" s="248"/>
      <c r="U28" s="495"/>
      <c r="V28" s="514"/>
      <c r="W28" s="483"/>
      <c r="X28" s="104">
        <v>158</v>
      </c>
    </row>
    <row r="29" spans="1:24" s="85" customFormat="1" ht="56.25" x14ac:dyDescent="0.25">
      <c r="A29" s="86">
        <v>4</v>
      </c>
      <c r="B29" s="88" t="s">
        <v>56</v>
      </c>
      <c r="C29" s="88"/>
      <c r="D29" s="88"/>
      <c r="E29" s="88" t="s">
        <v>176</v>
      </c>
      <c r="F29" s="96" t="s">
        <v>163</v>
      </c>
      <c r="G29" s="91" t="s">
        <v>177</v>
      </c>
      <c r="H29" s="87">
        <v>9600</v>
      </c>
      <c r="I29" s="92">
        <f>IF(X29 = 159, H29 + SUM(S29:S29) - SUM(T29:T29) - SUM(P29:P29) - V29,0)</f>
        <v>7200</v>
      </c>
      <c r="J29" s="93">
        <v>2369000660</v>
      </c>
      <c r="K29" s="94" t="s">
        <v>153</v>
      </c>
      <c r="L29" s="88"/>
      <c r="M29" s="88" t="s">
        <v>171</v>
      </c>
      <c r="N29" s="96" t="s">
        <v>290</v>
      </c>
      <c r="O29" s="96" t="s">
        <v>179</v>
      </c>
      <c r="P29" s="87">
        <v>2400</v>
      </c>
      <c r="Q29" s="91" t="s">
        <v>297</v>
      </c>
      <c r="R29" s="88"/>
      <c r="S29" s="87"/>
      <c r="T29" s="87"/>
      <c r="U29" s="87"/>
      <c r="V29" s="89"/>
      <c r="W29" s="90"/>
      <c r="X29" s="85">
        <v>159</v>
      </c>
    </row>
    <row r="30" spans="1:24" s="85" customFormat="1" ht="54" customHeight="1" x14ac:dyDescent="0.25">
      <c r="A30" s="515">
        <v>5</v>
      </c>
      <c r="B30" s="484" t="s">
        <v>56</v>
      </c>
      <c r="C30" s="484"/>
      <c r="D30" s="484"/>
      <c r="E30" s="484" t="s">
        <v>161</v>
      </c>
      <c r="F30" s="487" t="s">
        <v>163</v>
      </c>
      <c r="G30" s="490" t="s">
        <v>178</v>
      </c>
      <c r="H30" s="493">
        <v>27331.200000000001</v>
      </c>
      <c r="I30" s="496">
        <f>IF(X30 = 160, H30 + SUM(S30:S33) - SUM(T30:T33) - SUM(P30:P33) - V30,0)</f>
        <v>18220.800000000003</v>
      </c>
      <c r="J30" s="518">
        <v>2310163739</v>
      </c>
      <c r="K30" s="521" t="s">
        <v>147</v>
      </c>
      <c r="L30" s="484"/>
      <c r="M30" s="484" t="s">
        <v>171</v>
      </c>
      <c r="N30" s="251" t="s">
        <v>222</v>
      </c>
      <c r="O30" s="487" t="s">
        <v>180</v>
      </c>
      <c r="P30" s="242">
        <v>2277.6</v>
      </c>
      <c r="Q30" s="243" t="s">
        <v>243</v>
      </c>
      <c r="R30" s="244"/>
      <c r="S30" s="242"/>
      <c r="T30" s="242"/>
      <c r="U30" s="493"/>
      <c r="V30" s="512"/>
      <c r="W30" s="481"/>
      <c r="X30" s="85">
        <v>160</v>
      </c>
    </row>
    <row r="31" spans="1:24" s="104" customFormat="1" x14ac:dyDescent="0.25">
      <c r="A31" s="516"/>
      <c r="B31" s="485"/>
      <c r="C31" s="485"/>
      <c r="D31" s="485"/>
      <c r="E31" s="485"/>
      <c r="F31" s="488"/>
      <c r="G31" s="491"/>
      <c r="H31" s="494"/>
      <c r="I31" s="497"/>
      <c r="J31" s="519"/>
      <c r="K31" s="522"/>
      <c r="L31" s="485"/>
      <c r="M31" s="485"/>
      <c r="N31" s="252" t="s">
        <v>261</v>
      </c>
      <c r="O31" s="488"/>
      <c r="P31" s="245">
        <v>2277.6</v>
      </c>
      <c r="Q31" s="246" t="s">
        <v>258</v>
      </c>
      <c r="R31" s="247"/>
      <c r="S31" s="245"/>
      <c r="T31" s="245"/>
      <c r="U31" s="494"/>
      <c r="V31" s="513"/>
      <c r="W31" s="482"/>
      <c r="X31" s="104">
        <v>160</v>
      </c>
    </row>
    <row r="32" spans="1:24" s="104" customFormat="1" x14ac:dyDescent="0.25">
      <c r="A32" s="516"/>
      <c r="B32" s="485"/>
      <c r="C32" s="485"/>
      <c r="D32" s="485"/>
      <c r="E32" s="485"/>
      <c r="F32" s="488"/>
      <c r="G32" s="491"/>
      <c r="H32" s="494"/>
      <c r="I32" s="497"/>
      <c r="J32" s="519"/>
      <c r="K32" s="522"/>
      <c r="L32" s="485"/>
      <c r="M32" s="485"/>
      <c r="N32" s="252" t="s">
        <v>290</v>
      </c>
      <c r="O32" s="488"/>
      <c r="P32" s="245">
        <v>2277.6</v>
      </c>
      <c r="Q32" s="246" t="s">
        <v>297</v>
      </c>
      <c r="R32" s="247"/>
      <c r="S32" s="245"/>
      <c r="T32" s="245"/>
      <c r="U32" s="494"/>
      <c r="V32" s="513"/>
      <c r="W32" s="482"/>
      <c r="X32" s="104">
        <v>160</v>
      </c>
    </row>
    <row r="33" spans="1:24" s="104" customFormat="1" x14ac:dyDescent="0.25">
      <c r="A33" s="517"/>
      <c r="B33" s="486"/>
      <c r="C33" s="486"/>
      <c r="D33" s="486"/>
      <c r="E33" s="486"/>
      <c r="F33" s="489"/>
      <c r="G33" s="492"/>
      <c r="H33" s="495"/>
      <c r="I33" s="498"/>
      <c r="J33" s="520"/>
      <c r="K33" s="523"/>
      <c r="L33" s="486"/>
      <c r="M33" s="486"/>
      <c r="N33" s="253" t="s">
        <v>356</v>
      </c>
      <c r="O33" s="489"/>
      <c r="P33" s="248">
        <v>2277.6</v>
      </c>
      <c r="Q33" s="249" t="s">
        <v>360</v>
      </c>
      <c r="R33" s="250"/>
      <c r="S33" s="248"/>
      <c r="T33" s="248"/>
      <c r="U33" s="495"/>
      <c r="V33" s="514"/>
      <c r="W33" s="483"/>
      <c r="X33" s="104">
        <v>160</v>
      </c>
    </row>
    <row r="34" spans="1:24" s="85" customFormat="1" ht="36" customHeight="1" x14ac:dyDescent="0.25">
      <c r="A34" s="515">
        <v>6</v>
      </c>
      <c r="B34" s="484" t="s">
        <v>56</v>
      </c>
      <c r="C34" s="484"/>
      <c r="D34" s="484"/>
      <c r="E34" s="484" t="s">
        <v>160</v>
      </c>
      <c r="F34" s="487" t="s">
        <v>181</v>
      </c>
      <c r="G34" s="490" t="s">
        <v>182</v>
      </c>
      <c r="H34" s="493">
        <v>90689</v>
      </c>
      <c r="I34" s="496">
        <f>IF(X34 = 161, H34 + SUM(S34:S37) - SUM(T34:T37) - SUM(P34:P37) - V34,0)</f>
        <v>65884.44</v>
      </c>
      <c r="J34" s="518">
        <v>2369002347</v>
      </c>
      <c r="K34" s="521" t="s">
        <v>150</v>
      </c>
      <c r="L34" s="484"/>
      <c r="M34" s="484" t="s">
        <v>171</v>
      </c>
      <c r="N34" s="251" t="s">
        <v>222</v>
      </c>
      <c r="O34" s="487" t="s">
        <v>183</v>
      </c>
      <c r="P34" s="242">
        <v>6201.14</v>
      </c>
      <c r="Q34" s="243" t="s">
        <v>237</v>
      </c>
      <c r="R34" s="244"/>
      <c r="S34" s="242"/>
      <c r="T34" s="242"/>
      <c r="U34" s="493"/>
      <c r="V34" s="512"/>
      <c r="W34" s="481"/>
      <c r="X34" s="85">
        <v>161</v>
      </c>
    </row>
    <row r="35" spans="1:24" s="104" customFormat="1" x14ac:dyDescent="0.25">
      <c r="A35" s="516"/>
      <c r="B35" s="485"/>
      <c r="C35" s="485"/>
      <c r="D35" s="485"/>
      <c r="E35" s="485"/>
      <c r="F35" s="488"/>
      <c r="G35" s="491"/>
      <c r="H35" s="494"/>
      <c r="I35" s="497"/>
      <c r="J35" s="519"/>
      <c r="K35" s="522"/>
      <c r="L35" s="485"/>
      <c r="M35" s="485"/>
      <c r="N35" s="252" t="s">
        <v>261</v>
      </c>
      <c r="O35" s="488"/>
      <c r="P35" s="245">
        <v>6201.14</v>
      </c>
      <c r="Q35" s="246" t="s">
        <v>262</v>
      </c>
      <c r="R35" s="247"/>
      <c r="S35" s="245"/>
      <c r="T35" s="245"/>
      <c r="U35" s="494"/>
      <c r="V35" s="513"/>
      <c r="W35" s="482"/>
      <c r="X35" s="104">
        <v>161</v>
      </c>
    </row>
    <row r="36" spans="1:24" s="104" customFormat="1" x14ac:dyDescent="0.25">
      <c r="A36" s="516"/>
      <c r="B36" s="485"/>
      <c r="C36" s="485"/>
      <c r="D36" s="485"/>
      <c r="E36" s="485"/>
      <c r="F36" s="488"/>
      <c r="G36" s="491"/>
      <c r="H36" s="494"/>
      <c r="I36" s="497"/>
      <c r="J36" s="519"/>
      <c r="K36" s="522"/>
      <c r="L36" s="485"/>
      <c r="M36" s="485"/>
      <c r="N36" s="252" t="s">
        <v>290</v>
      </c>
      <c r="O36" s="488"/>
      <c r="P36" s="245">
        <v>5458.75</v>
      </c>
      <c r="Q36" s="246" t="s">
        <v>298</v>
      </c>
      <c r="R36" s="247"/>
      <c r="S36" s="245"/>
      <c r="T36" s="245"/>
      <c r="U36" s="494"/>
      <c r="V36" s="513"/>
      <c r="W36" s="482"/>
      <c r="X36" s="104">
        <v>161</v>
      </c>
    </row>
    <row r="37" spans="1:24" s="104" customFormat="1" x14ac:dyDescent="0.25">
      <c r="A37" s="517"/>
      <c r="B37" s="486"/>
      <c r="C37" s="486"/>
      <c r="D37" s="486"/>
      <c r="E37" s="486"/>
      <c r="F37" s="489"/>
      <c r="G37" s="492"/>
      <c r="H37" s="495"/>
      <c r="I37" s="498"/>
      <c r="J37" s="520"/>
      <c r="K37" s="523"/>
      <c r="L37" s="486"/>
      <c r="M37" s="486"/>
      <c r="N37" s="253" t="s">
        <v>356</v>
      </c>
      <c r="O37" s="489"/>
      <c r="P37" s="248">
        <v>6943.53</v>
      </c>
      <c r="Q37" s="249" t="s">
        <v>360</v>
      </c>
      <c r="R37" s="250"/>
      <c r="S37" s="248"/>
      <c r="T37" s="248"/>
      <c r="U37" s="495"/>
      <c r="V37" s="514"/>
      <c r="W37" s="483"/>
      <c r="X37" s="104">
        <v>161</v>
      </c>
    </row>
    <row r="38" spans="1:24" s="85" customFormat="1" ht="54" customHeight="1" x14ac:dyDescent="0.25">
      <c r="A38" s="515">
        <v>7</v>
      </c>
      <c r="B38" s="484" t="s">
        <v>56</v>
      </c>
      <c r="C38" s="484"/>
      <c r="D38" s="484"/>
      <c r="E38" s="484" t="s">
        <v>184</v>
      </c>
      <c r="F38" s="487" t="s">
        <v>163</v>
      </c>
      <c r="G38" s="490" t="s">
        <v>185</v>
      </c>
      <c r="H38" s="493">
        <v>17400</v>
      </c>
      <c r="I38" s="496">
        <f>IF(X38 = 162, H38 + SUM(S38:S41) - SUM(T38:T41) - SUM(P38:P41) - V38,0)</f>
        <v>11600</v>
      </c>
      <c r="J38" s="518">
        <v>231107998282</v>
      </c>
      <c r="K38" s="521" t="s">
        <v>162</v>
      </c>
      <c r="L38" s="484"/>
      <c r="M38" s="484" t="s">
        <v>171</v>
      </c>
      <c r="N38" s="251">
        <v>45688</v>
      </c>
      <c r="O38" s="487" t="s">
        <v>186</v>
      </c>
      <c r="P38" s="242">
        <v>1450</v>
      </c>
      <c r="Q38" s="243" t="s">
        <v>227</v>
      </c>
      <c r="R38" s="244"/>
      <c r="S38" s="242"/>
      <c r="T38" s="242"/>
      <c r="U38" s="493"/>
      <c r="V38" s="512"/>
      <c r="W38" s="481"/>
      <c r="X38" s="85">
        <v>162</v>
      </c>
    </row>
    <row r="39" spans="1:24" s="104" customFormat="1" x14ac:dyDescent="0.25">
      <c r="A39" s="516"/>
      <c r="B39" s="485"/>
      <c r="C39" s="485"/>
      <c r="D39" s="485"/>
      <c r="E39" s="485"/>
      <c r="F39" s="488"/>
      <c r="G39" s="491"/>
      <c r="H39" s="494"/>
      <c r="I39" s="497"/>
      <c r="J39" s="519"/>
      <c r="K39" s="522"/>
      <c r="L39" s="485"/>
      <c r="M39" s="485"/>
      <c r="N39" s="252" t="s">
        <v>261</v>
      </c>
      <c r="O39" s="488"/>
      <c r="P39" s="245">
        <v>1450</v>
      </c>
      <c r="Q39" s="246" t="s">
        <v>263</v>
      </c>
      <c r="R39" s="247"/>
      <c r="S39" s="245"/>
      <c r="T39" s="245"/>
      <c r="U39" s="494"/>
      <c r="V39" s="513"/>
      <c r="W39" s="482"/>
      <c r="X39" s="104">
        <v>162</v>
      </c>
    </row>
    <row r="40" spans="1:24" s="104" customFormat="1" x14ac:dyDescent="0.25">
      <c r="A40" s="516"/>
      <c r="B40" s="485"/>
      <c r="C40" s="485"/>
      <c r="D40" s="485"/>
      <c r="E40" s="485"/>
      <c r="F40" s="488"/>
      <c r="G40" s="491"/>
      <c r="H40" s="494"/>
      <c r="I40" s="497"/>
      <c r="J40" s="519"/>
      <c r="K40" s="522"/>
      <c r="L40" s="485"/>
      <c r="M40" s="485"/>
      <c r="N40" s="252" t="s">
        <v>290</v>
      </c>
      <c r="O40" s="488"/>
      <c r="P40" s="245">
        <v>1450</v>
      </c>
      <c r="Q40" s="246" t="s">
        <v>297</v>
      </c>
      <c r="R40" s="247"/>
      <c r="S40" s="245"/>
      <c r="T40" s="245"/>
      <c r="U40" s="494"/>
      <c r="V40" s="513"/>
      <c r="W40" s="482"/>
      <c r="X40" s="104">
        <v>162</v>
      </c>
    </row>
    <row r="41" spans="1:24" s="104" customFormat="1" x14ac:dyDescent="0.25">
      <c r="A41" s="517"/>
      <c r="B41" s="486"/>
      <c r="C41" s="486"/>
      <c r="D41" s="486"/>
      <c r="E41" s="486"/>
      <c r="F41" s="489"/>
      <c r="G41" s="492"/>
      <c r="H41" s="495"/>
      <c r="I41" s="498"/>
      <c r="J41" s="520"/>
      <c r="K41" s="523"/>
      <c r="L41" s="486"/>
      <c r="M41" s="486"/>
      <c r="N41" s="253" t="s">
        <v>356</v>
      </c>
      <c r="O41" s="489"/>
      <c r="P41" s="248">
        <v>1450</v>
      </c>
      <c r="Q41" s="249" t="s">
        <v>353</v>
      </c>
      <c r="R41" s="250"/>
      <c r="S41" s="248"/>
      <c r="T41" s="248"/>
      <c r="U41" s="495"/>
      <c r="V41" s="514"/>
      <c r="W41" s="483"/>
      <c r="X41" s="104">
        <v>162</v>
      </c>
    </row>
    <row r="42" spans="1:24" s="85" customFormat="1" ht="90" customHeight="1" x14ac:dyDescent="0.25">
      <c r="A42" s="515">
        <v>8</v>
      </c>
      <c r="B42" s="484" t="s">
        <v>56</v>
      </c>
      <c r="C42" s="484"/>
      <c r="D42" s="484"/>
      <c r="E42" s="484" t="s">
        <v>187</v>
      </c>
      <c r="F42" s="487" t="s">
        <v>163</v>
      </c>
      <c r="G42" s="490" t="s">
        <v>188</v>
      </c>
      <c r="H42" s="493">
        <v>30000</v>
      </c>
      <c r="I42" s="496">
        <f>IF(X42 = 163, H42 + SUM(S42:S45) - SUM(T42:T45) - SUM(P42:P45) - V42,0)</f>
        <v>20000</v>
      </c>
      <c r="J42" s="518">
        <v>231107998282</v>
      </c>
      <c r="K42" s="521" t="s">
        <v>162</v>
      </c>
      <c r="L42" s="484"/>
      <c r="M42" s="484" t="s">
        <v>171</v>
      </c>
      <c r="N42" s="251" t="s">
        <v>222</v>
      </c>
      <c r="O42" s="487" t="s">
        <v>186</v>
      </c>
      <c r="P42" s="242">
        <v>2500</v>
      </c>
      <c r="Q42" s="243" t="s">
        <v>227</v>
      </c>
      <c r="R42" s="244"/>
      <c r="S42" s="242"/>
      <c r="T42" s="242"/>
      <c r="U42" s="493"/>
      <c r="V42" s="512"/>
      <c r="W42" s="481"/>
      <c r="X42" s="85">
        <v>163</v>
      </c>
    </row>
    <row r="43" spans="1:24" s="104" customFormat="1" x14ac:dyDescent="0.25">
      <c r="A43" s="516"/>
      <c r="B43" s="485"/>
      <c r="C43" s="485"/>
      <c r="D43" s="485"/>
      <c r="E43" s="485"/>
      <c r="F43" s="488"/>
      <c r="G43" s="491"/>
      <c r="H43" s="494"/>
      <c r="I43" s="497"/>
      <c r="J43" s="519"/>
      <c r="K43" s="522"/>
      <c r="L43" s="485"/>
      <c r="M43" s="485"/>
      <c r="N43" s="252" t="s">
        <v>261</v>
      </c>
      <c r="O43" s="488"/>
      <c r="P43" s="245">
        <v>2500</v>
      </c>
      <c r="Q43" s="246" t="s">
        <v>263</v>
      </c>
      <c r="R43" s="247"/>
      <c r="S43" s="245"/>
      <c r="T43" s="245"/>
      <c r="U43" s="494"/>
      <c r="V43" s="513"/>
      <c r="W43" s="482"/>
      <c r="X43" s="104">
        <v>163</v>
      </c>
    </row>
    <row r="44" spans="1:24" s="104" customFormat="1" x14ac:dyDescent="0.25">
      <c r="A44" s="516"/>
      <c r="B44" s="485"/>
      <c r="C44" s="485"/>
      <c r="D44" s="485"/>
      <c r="E44" s="485"/>
      <c r="F44" s="488"/>
      <c r="G44" s="491"/>
      <c r="H44" s="494"/>
      <c r="I44" s="497"/>
      <c r="J44" s="519"/>
      <c r="K44" s="522"/>
      <c r="L44" s="485"/>
      <c r="M44" s="485"/>
      <c r="N44" s="252" t="s">
        <v>290</v>
      </c>
      <c r="O44" s="488"/>
      <c r="P44" s="245">
        <v>2500</v>
      </c>
      <c r="Q44" s="246" t="s">
        <v>297</v>
      </c>
      <c r="R44" s="247"/>
      <c r="S44" s="245"/>
      <c r="T44" s="245"/>
      <c r="U44" s="494"/>
      <c r="V44" s="513"/>
      <c r="W44" s="482"/>
      <c r="X44" s="104">
        <v>163</v>
      </c>
    </row>
    <row r="45" spans="1:24" s="104" customFormat="1" x14ac:dyDescent="0.25">
      <c r="A45" s="517"/>
      <c r="B45" s="486"/>
      <c r="C45" s="486"/>
      <c r="D45" s="486"/>
      <c r="E45" s="486"/>
      <c r="F45" s="489"/>
      <c r="G45" s="492"/>
      <c r="H45" s="495"/>
      <c r="I45" s="498"/>
      <c r="J45" s="520"/>
      <c r="K45" s="523"/>
      <c r="L45" s="486"/>
      <c r="M45" s="486"/>
      <c r="N45" s="253" t="s">
        <v>356</v>
      </c>
      <c r="O45" s="489"/>
      <c r="P45" s="248">
        <v>2500</v>
      </c>
      <c r="Q45" s="249" t="s">
        <v>353</v>
      </c>
      <c r="R45" s="250"/>
      <c r="S45" s="248"/>
      <c r="T45" s="248"/>
      <c r="U45" s="495"/>
      <c r="V45" s="514"/>
      <c r="W45" s="483"/>
      <c r="X45" s="104">
        <v>163</v>
      </c>
    </row>
    <row r="46" spans="1:24" s="85" customFormat="1" ht="54" customHeight="1" x14ac:dyDescent="0.25">
      <c r="A46" s="515">
        <v>9</v>
      </c>
      <c r="B46" s="484" t="s">
        <v>56</v>
      </c>
      <c r="C46" s="484"/>
      <c r="D46" s="484"/>
      <c r="E46" s="484" t="s">
        <v>189</v>
      </c>
      <c r="F46" s="487" t="s">
        <v>163</v>
      </c>
      <c r="G46" s="490" t="s">
        <v>190</v>
      </c>
      <c r="H46" s="493">
        <v>18000</v>
      </c>
      <c r="I46" s="496">
        <f>IF(X46 = 164, H46 + SUM(S46:S49) - SUM(T46:T49) - SUM(P46:P49) - V46,0)</f>
        <v>12000</v>
      </c>
      <c r="J46" s="518">
        <v>231107998282</v>
      </c>
      <c r="K46" s="521" t="s">
        <v>162</v>
      </c>
      <c r="L46" s="484"/>
      <c r="M46" s="484" t="s">
        <v>171</v>
      </c>
      <c r="N46" s="251">
        <v>45688</v>
      </c>
      <c r="O46" s="487" t="s">
        <v>186</v>
      </c>
      <c r="P46" s="242">
        <v>1500</v>
      </c>
      <c r="Q46" s="243" t="s">
        <v>227</v>
      </c>
      <c r="R46" s="244"/>
      <c r="S46" s="242"/>
      <c r="T46" s="242"/>
      <c r="U46" s="493"/>
      <c r="V46" s="512"/>
      <c r="W46" s="481"/>
      <c r="X46" s="85">
        <v>164</v>
      </c>
    </row>
    <row r="47" spans="1:24" s="104" customFormat="1" x14ac:dyDescent="0.25">
      <c r="A47" s="516"/>
      <c r="B47" s="485"/>
      <c r="C47" s="485"/>
      <c r="D47" s="485"/>
      <c r="E47" s="485"/>
      <c r="F47" s="488"/>
      <c r="G47" s="491"/>
      <c r="H47" s="494"/>
      <c r="I47" s="497"/>
      <c r="J47" s="519"/>
      <c r="K47" s="522"/>
      <c r="L47" s="485"/>
      <c r="M47" s="485"/>
      <c r="N47" s="252" t="s">
        <v>261</v>
      </c>
      <c r="O47" s="488"/>
      <c r="P47" s="245">
        <v>1500</v>
      </c>
      <c r="Q47" s="246" t="s">
        <v>263</v>
      </c>
      <c r="R47" s="247"/>
      <c r="S47" s="245"/>
      <c r="T47" s="245"/>
      <c r="U47" s="494"/>
      <c r="V47" s="513"/>
      <c r="W47" s="482"/>
      <c r="X47" s="104">
        <v>164</v>
      </c>
    </row>
    <row r="48" spans="1:24" s="104" customFormat="1" x14ac:dyDescent="0.25">
      <c r="A48" s="516"/>
      <c r="B48" s="485"/>
      <c r="C48" s="485"/>
      <c r="D48" s="485"/>
      <c r="E48" s="485"/>
      <c r="F48" s="488"/>
      <c r="G48" s="491"/>
      <c r="H48" s="494"/>
      <c r="I48" s="497"/>
      <c r="J48" s="519"/>
      <c r="K48" s="522"/>
      <c r="L48" s="485"/>
      <c r="M48" s="485"/>
      <c r="N48" s="252" t="s">
        <v>290</v>
      </c>
      <c r="O48" s="488"/>
      <c r="P48" s="245">
        <v>1500</v>
      </c>
      <c r="Q48" s="246" t="s">
        <v>297</v>
      </c>
      <c r="R48" s="247"/>
      <c r="S48" s="245"/>
      <c r="T48" s="245"/>
      <c r="U48" s="494"/>
      <c r="V48" s="513"/>
      <c r="W48" s="482"/>
      <c r="X48" s="104">
        <v>164</v>
      </c>
    </row>
    <row r="49" spans="1:24" s="104" customFormat="1" x14ac:dyDescent="0.25">
      <c r="A49" s="517"/>
      <c r="B49" s="486"/>
      <c r="C49" s="486"/>
      <c r="D49" s="486"/>
      <c r="E49" s="486"/>
      <c r="F49" s="489"/>
      <c r="G49" s="492"/>
      <c r="H49" s="495"/>
      <c r="I49" s="498"/>
      <c r="J49" s="520"/>
      <c r="K49" s="523"/>
      <c r="L49" s="486"/>
      <c r="M49" s="486"/>
      <c r="N49" s="253" t="s">
        <v>356</v>
      </c>
      <c r="O49" s="489"/>
      <c r="P49" s="248">
        <v>1500</v>
      </c>
      <c r="Q49" s="249" t="s">
        <v>353</v>
      </c>
      <c r="R49" s="250"/>
      <c r="S49" s="248"/>
      <c r="T49" s="248"/>
      <c r="U49" s="495"/>
      <c r="V49" s="514"/>
      <c r="W49" s="483"/>
      <c r="X49" s="104">
        <v>164</v>
      </c>
    </row>
    <row r="50" spans="1:24" s="85" customFormat="1" ht="54" customHeight="1" x14ac:dyDescent="0.25">
      <c r="A50" s="427">
        <v>10</v>
      </c>
      <c r="B50" s="421" t="s">
        <v>56</v>
      </c>
      <c r="C50" s="421"/>
      <c r="D50" s="421"/>
      <c r="E50" s="421" t="s">
        <v>159</v>
      </c>
      <c r="F50" s="403" t="s">
        <v>181</v>
      </c>
      <c r="G50" s="406" t="s">
        <v>191</v>
      </c>
      <c r="H50" s="409">
        <v>10951.2</v>
      </c>
      <c r="I50" s="412">
        <f>IF(X50 = 165, H50 + SUM(S50:S52) - SUM(T50:T52) - SUM(P50:P52) - V50,0)</f>
        <v>9.0949470177292824E-13</v>
      </c>
      <c r="J50" s="415">
        <v>2353020735</v>
      </c>
      <c r="K50" s="418" t="s">
        <v>192</v>
      </c>
      <c r="L50" s="421"/>
      <c r="M50" s="421" t="s">
        <v>193</v>
      </c>
      <c r="N50" s="145" t="s">
        <v>261</v>
      </c>
      <c r="O50" s="403" t="s">
        <v>186</v>
      </c>
      <c r="P50" s="139">
        <v>2601</v>
      </c>
      <c r="Q50" s="140" t="s">
        <v>265</v>
      </c>
      <c r="R50" s="141"/>
      <c r="S50" s="139"/>
      <c r="T50" s="139"/>
      <c r="U50" s="409" t="s">
        <v>296</v>
      </c>
      <c r="V50" s="430">
        <v>2842.2</v>
      </c>
      <c r="W50" s="433"/>
      <c r="X50" s="85">
        <v>165</v>
      </c>
    </row>
    <row r="51" spans="1:24" s="104" customFormat="1" x14ac:dyDescent="0.25">
      <c r="A51" s="428"/>
      <c r="B51" s="422"/>
      <c r="C51" s="422"/>
      <c r="D51" s="422"/>
      <c r="E51" s="422"/>
      <c r="F51" s="404"/>
      <c r="G51" s="407"/>
      <c r="H51" s="410"/>
      <c r="I51" s="413"/>
      <c r="J51" s="416"/>
      <c r="K51" s="419"/>
      <c r="L51" s="422"/>
      <c r="M51" s="422"/>
      <c r="N51" s="147" t="s">
        <v>222</v>
      </c>
      <c r="O51" s="404"/>
      <c r="P51" s="148">
        <v>3015</v>
      </c>
      <c r="Q51" s="149" t="s">
        <v>237</v>
      </c>
      <c r="R51" s="150"/>
      <c r="S51" s="148"/>
      <c r="T51" s="148"/>
      <c r="U51" s="410"/>
      <c r="V51" s="431"/>
      <c r="W51" s="434"/>
      <c r="X51" s="104">
        <v>165</v>
      </c>
    </row>
    <row r="52" spans="1:24" s="104" customFormat="1" x14ac:dyDescent="0.25">
      <c r="A52" s="429"/>
      <c r="B52" s="423"/>
      <c r="C52" s="423"/>
      <c r="D52" s="423"/>
      <c r="E52" s="423"/>
      <c r="F52" s="405"/>
      <c r="G52" s="408"/>
      <c r="H52" s="411"/>
      <c r="I52" s="414"/>
      <c r="J52" s="417"/>
      <c r="K52" s="420"/>
      <c r="L52" s="423"/>
      <c r="M52" s="423"/>
      <c r="N52" s="146" t="s">
        <v>290</v>
      </c>
      <c r="O52" s="405"/>
      <c r="P52" s="142">
        <v>2493</v>
      </c>
      <c r="Q52" s="143" t="s">
        <v>293</v>
      </c>
      <c r="R52" s="144"/>
      <c r="S52" s="142"/>
      <c r="T52" s="142"/>
      <c r="U52" s="411"/>
      <c r="V52" s="432"/>
      <c r="W52" s="435"/>
      <c r="X52" s="104">
        <v>165</v>
      </c>
    </row>
    <row r="53" spans="1:24" s="85" customFormat="1" ht="90" customHeight="1" x14ac:dyDescent="0.25">
      <c r="A53" s="427">
        <v>11</v>
      </c>
      <c r="B53" s="421" t="s">
        <v>56</v>
      </c>
      <c r="C53" s="421"/>
      <c r="D53" s="421"/>
      <c r="E53" s="421" t="s">
        <v>160</v>
      </c>
      <c r="F53" s="403" t="s">
        <v>181</v>
      </c>
      <c r="G53" s="406" t="s">
        <v>194</v>
      </c>
      <c r="H53" s="409">
        <v>353508.48</v>
      </c>
      <c r="I53" s="412">
        <f>IF(X53 = 166, H53 + SUM(S53:S76) - SUM(T53:T76) - SUM(P53:P76) - V53,0)</f>
        <v>-2.9103830456733704E-11</v>
      </c>
      <c r="J53" s="415">
        <v>2353020735</v>
      </c>
      <c r="K53" s="418" t="s">
        <v>192</v>
      </c>
      <c r="L53" s="421"/>
      <c r="M53" s="421" t="s">
        <v>193</v>
      </c>
      <c r="N53" s="145" t="s">
        <v>261</v>
      </c>
      <c r="O53" s="403" t="s">
        <v>186</v>
      </c>
      <c r="P53" s="151">
        <v>65758</v>
      </c>
      <c r="Q53" s="140" t="s">
        <v>265</v>
      </c>
      <c r="R53" s="141"/>
      <c r="S53" s="139"/>
      <c r="T53" s="139"/>
      <c r="U53" s="409" t="s">
        <v>296</v>
      </c>
      <c r="V53" s="430">
        <v>40482.28</v>
      </c>
      <c r="W53" s="433"/>
      <c r="X53" s="85">
        <v>166</v>
      </c>
    </row>
    <row r="54" spans="1:24" s="104" customFormat="1" x14ac:dyDescent="0.25">
      <c r="A54" s="428"/>
      <c r="B54" s="422"/>
      <c r="C54" s="422"/>
      <c r="D54" s="422"/>
      <c r="E54" s="422"/>
      <c r="F54" s="404"/>
      <c r="G54" s="407"/>
      <c r="H54" s="410"/>
      <c r="I54" s="413"/>
      <c r="J54" s="416"/>
      <c r="K54" s="419"/>
      <c r="L54" s="422"/>
      <c r="M54" s="422"/>
      <c r="N54" s="147" t="s">
        <v>261</v>
      </c>
      <c r="O54" s="404"/>
      <c r="P54" s="152">
        <v>6283.2</v>
      </c>
      <c r="Q54" s="149" t="s">
        <v>265</v>
      </c>
      <c r="R54" s="150"/>
      <c r="S54" s="148"/>
      <c r="T54" s="148"/>
      <c r="U54" s="410"/>
      <c r="V54" s="431"/>
      <c r="W54" s="434"/>
      <c r="X54" s="104">
        <v>166</v>
      </c>
    </row>
    <row r="55" spans="1:24" s="104" customFormat="1" x14ac:dyDescent="0.25">
      <c r="A55" s="428"/>
      <c r="B55" s="422"/>
      <c r="C55" s="422"/>
      <c r="D55" s="422"/>
      <c r="E55" s="422"/>
      <c r="F55" s="404"/>
      <c r="G55" s="407"/>
      <c r="H55" s="410"/>
      <c r="I55" s="413"/>
      <c r="J55" s="416"/>
      <c r="K55" s="419"/>
      <c r="L55" s="422"/>
      <c r="M55" s="422"/>
      <c r="N55" s="147" t="s">
        <v>261</v>
      </c>
      <c r="O55" s="404"/>
      <c r="P55" s="152">
        <v>1570.8</v>
      </c>
      <c r="Q55" s="149" t="s">
        <v>265</v>
      </c>
      <c r="R55" s="150"/>
      <c r="S55" s="148"/>
      <c r="T55" s="148"/>
      <c r="U55" s="410"/>
      <c r="V55" s="431"/>
      <c r="W55" s="434"/>
      <c r="X55" s="104">
        <v>166</v>
      </c>
    </row>
    <row r="56" spans="1:24" s="104" customFormat="1" x14ac:dyDescent="0.25">
      <c r="A56" s="428"/>
      <c r="B56" s="422"/>
      <c r="C56" s="422"/>
      <c r="D56" s="422"/>
      <c r="E56" s="422"/>
      <c r="F56" s="404"/>
      <c r="G56" s="407"/>
      <c r="H56" s="410"/>
      <c r="I56" s="413"/>
      <c r="J56" s="416"/>
      <c r="K56" s="419"/>
      <c r="L56" s="422"/>
      <c r="M56" s="422"/>
      <c r="N56" s="147" t="s">
        <v>261</v>
      </c>
      <c r="O56" s="404"/>
      <c r="P56" s="152">
        <v>10998.25</v>
      </c>
      <c r="Q56" s="149" t="s">
        <v>265</v>
      </c>
      <c r="R56" s="150"/>
      <c r="S56" s="148"/>
      <c r="T56" s="148"/>
      <c r="U56" s="410"/>
      <c r="V56" s="431"/>
      <c r="W56" s="434"/>
      <c r="X56" s="104">
        <v>166</v>
      </c>
    </row>
    <row r="57" spans="1:24" s="104" customFormat="1" x14ac:dyDescent="0.25">
      <c r="A57" s="428"/>
      <c r="B57" s="422"/>
      <c r="C57" s="422"/>
      <c r="D57" s="422"/>
      <c r="E57" s="422"/>
      <c r="F57" s="404"/>
      <c r="G57" s="407"/>
      <c r="H57" s="410"/>
      <c r="I57" s="413"/>
      <c r="J57" s="416"/>
      <c r="K57" s="419"/>
      <c r="L57" s="422"/>
      <c r="M57" s="422"/>
      <c r="N57" s="147" t="s">
        <v>261</v>
      </c>
      <c r="O57" s="404"/>
      <c r="P57" s="152">
        <v>13442.15</v>
      </c>
      <c r="Q57" s="149" t="s">
        <v>265</v>
      </c>
      <c r="R57" s="150"/>
      <c r="S57" s="148"/>
      <c r="T57" s="148"/>
      <c r="U57" s="410"/>
      <c r="V57" s="431"/>
      <c r="W57" s="434"/>
      <c r="X57" s="104">
        <v>166</v>
      </c>
    </row>
    <row r="58" spans="1:24" s="104" customFormat="1" x14ac:dyDescent="0.25">
      <c r="A58" s="428"/>
      <c r="B58" s="422"/>
      <c r="C58" s="422"/>
      <c r="D58" s="422"/>
      <c r="E58" s="422"/>
      <c r="F58" s="404"/>
      <c r="G58" s="407"/>
      <c r="H58" s="410"/>
      <c r="I58" s="413"/>
      <c r="J58" s="416"/>
      <c r="K58" s="419"/>
      <c r="L58" s="422"/>
      <c r="M58" s="422"/>
      <c r="N58" s="147" t="s">
        <v>261</v>
      </c>
      <c r="O58" s="404"/>
      <c r="P58" s="152">
        <v>8225</v>
      </c>
      <c r="Q58" s="149" t="s">
        <v>265</v>
      </c>
      <c r="R58" s="150"/>
      <c r="S58" s="148"/>
      <c r="T58" s="148"/>
      <c r="U58" s="410"/>
      <c r="V58" s="431"/>
      <c r="W58" s="434"/>
      <c r="X58" s="104">
        <v>166</v>
      </c>
    </row>
    <row r="59" spans="1:24" s="104" customFormat="1" x14ac:dyDescent="0.25">
      <c r="A59" s="428"/>
      <c r="B59" s="422"/>
      <c r="C59" s="422"/>
      <c r="D59" s="422"/>
      <c r="E59" s="422"/>
      <c r="F59" s="404"/>
      <c r="G59" s="407"/>
      <c r="H59" s="410"/>
      <c r="I59" s="413"/>
      <c r="J59" s="416"/>
      <c r="K59" s="419"/>
      <c r="L59" s="422"/>
      <c r="M59" s="422"/>
      <c r="N59" s="147" t="s">
        <v>261</v>
      </c>
      <c r="O59" s="404"/>
      <c r="P59" s="152">
        <v>8304</v>
      </c>
      <c r="Q59" s="149" t="s">
        <v>265</v>
      </c>
      <c r="R59" s="150"/>
      <c r="S59" s="148"/>
      <c r="T59" s="148"/>
      <c r="U59" s="410"/>
      <c r="V59" s="431"/>
      <c r="W59" s="434"/>
      <c r="X59" s="104">
        <v>166</v>
      </c>
    </row>
    <row r="60" spans="1:24" s="104" customFormat="1" x14ac:dyDescent="0.25">
      <c r="A60" s="428"/>
      <c r="B60" s="422"/>
      <c r="C60" s="422"/>
      <c r="D60" s="422"/>
      <c r="E60" s="422"/>
      <c r="F60" s="404"/>
      <c r="G60" s="407"/>
      <c r="H60" s="410"/>
      <c r="I60" s="413"/>
      <c r="J60" s="416"/>
      <c r="K60" s="419"/>
      <c r="L60" s="422"/>
      <c r="M60" s="422"/>
      <c r="N60" s="147" t="s">
        <v>261</v>
      </c>
      <c r="O60" s="404"/>
      <c r="P60" s="152">
        <v>2800</v>
      </c>
      <c r="Q60" s="149" t="s">
        <v>265</v>
      </c>
      <c r="R60" s="150"/>
      <c r="S60" s="148"/>
      <c r="T60" s="148"/>
      <c r="U60" s="410"/>
      <c r="V60" s="431"/>
      <c r="W60" s="434"/>
      <c r="X60" s="104">
        <v>166</v>
      </c>
    </row>
    <row r="61" spans="1:24" s="104" customFormat="1" x14ac:dyDescent="0.25">
      <c r="A61" s="428"/>
      <c r="B61" s="422"/>
      <c r="C61" s="422"/>
      <c r="D61" s="422"/>
      <c r="E61" s="422"/>
      <c r="F61" s="404"/>
      <c r="G61" s="407"/>
      <c r="H61" s="410"/>
      <c r="I61" s="413"/>
      <c r="J61" s="416"/>
      <c r="K61" s="419"/>
      <c r="L61" s="422"/>
      <c r="M61" s="422"/>
      <c r="N61" s="147" t="s">
        <v>222</v>
      </c>
      <c r="O61" s="404"/>
      <c r="P61" s="152">
        <v>60522</v>
      </c>
      <c r="Q61" s="149" t="s">
        <v>237</v>
      </c>
      <c r="R61" s="150"/>
      <c r="S61" s="148"/>
      <c r="T61" s="148"/>
      <c r="U61" s="410"/>
      <c r="V61" s="431"/>
      <c r="W61" s="434"/>
      <c r="X61" s="104">
        <v>166</v>
      </c>
    </row>
    <row r="62" spans="1:24" s="104" customFormat="1" x14ac:dyDescent="0.25">
      <c r="A62" s="428"/>
      <c r="B62" s="422"/>
      <c r="C62" s="422"/>
      <c r="D62" s="422"/>
      <c r="E62" s="422"/>
      <c r="F62" s="404"/>
      <c r="G62" s="407"/>
      <c r="H62" s="410"/>
      <c r="I62" s="413"/>
      <c r="J62" s="416"/>
      <c r="K62" s="419"/>
      <c r="L62" s="422"/>
      <c r="M62" s="422"/>
      <c r="N62" s="147" t="s">
        <v>222</v>
      </c>
      <c r="O62" s="404"/>
      <c r="P62" s="152">
        <v>3326.4</v>
      </c>
      <c r="Q62" s="149" t="s">
        <v>237</v>
      </c>
      <c r="R62" s="150"/>
      <c r="S62" s="148"/>
      <c r="T62" s="148"/>
      <c r="U62" s="410"/>
      <c r="V62" s="431"/>
      <c r="W62" s="434"/>
      <c r="X62" s="104">
        <v>166</v>
      </c>
    </row>
    <row r="63" spans="1:24" s="104" customFormat="1" x14ac:dyDescent="0.25">
      <c r="A63" s="428"/>
      <c r="B63" s="422"/>
      <c r="C63" s="422"/>
      <c r="D63" s="422"/>
      <c r="E63" s="422"/>
      <c r="F63" s="404"/>
      <c r="G63" s="407"/>
      <c r="H63" s="410"/>
      <c r="I63" s="413"/>
      <c r="J63" s="416"/>
      <c r="K63" s="419"/>
      <c r="L63" s="422"/>
      <c r="M63" s="422"/>
      <c r="N63" s="147" t="s">
        <v>222</v>
      </c>
      <c r="O63" s="404"/>
      <c r="P63" s="152">
        <v>831.6</v>
      </c>
      <c r="Q63" s="149" t="s">
        <v>237</v>
      </c>
      <c r="R63" s="150"/>
      <c r="S63" s="148"/>
      <c r="T63" s="148"/>
      <c r="U63" s="410"/>
      <c r="V63" s="431"/>
      <c r="W63" s="434"/>
      <c r="X63" s="104">
        <v>166</v>
      </c>
    </row>
    <row r="64" spans="1:24" s="104" customFormat="1" x14ac:dyDescent="0.25">
      <c r="A64" s="428"/>
      <c r="B64" s="422"/>
      <c r="C64" s="422"/>
      <c r="D64" s="422"/>
      <c r="E64" s="422"/>
      <c r="F64" s="404"/>
      <c r="G64" s="407"/>
      <c r="H64" s="410"/>
      <c r="I64" s="413"/>
      <c r="J64" s="416"/>
      <c r="K64" s="419"/>
      <c r="L64" s="422"/>
      <c r="M64" s="422"/>
      <c r="N64" s="147" t="s">
        <v>222</v>
      </c>
      <c r="O64" s="404"/>
      <c r="P64" s="152">
        <v>6643.2</v>
      </c>
      <c r="Q64" s="149" t="s">
        <v>237</v>
      </c>
      <c r="R64" s="150"/>
      <c r="S64" s="148"/>
      <c r="T64" s="148"/>
      <c r="U64" s="410"/>
      <c r="V64" s="431"/>
      <c r="W64" s="434"/>
      <c r="X64" s="104">
        <v>166</v>
      </c>
    </row>
    <row r="65" spans="1:24" s="104" customFormat="1" x14ac:dyDescent="0.25">
      <c r="A65" s="428"/>
      <c r="B65" s="422"/>
      <c r="C65" s="422"/>
      <c r="D65" s="422"/>
      <c r="E65" s="422"/>
      <c r="F65" s="404"/>
      <c r="G65" s="407"/>
      <c r="H65" s="410"/>
      <c r="I65" s="413"/>
      <c r="J65" s="416"/>
      <c r="K65" s="419"/>
      <c r="L65" s="422"/>
      <c r="M65" s="422"/>
      <c r="N65" s="147" t="s">
        <v>222</v>
      </c>
      <c r="O65" s="404"/>
      <c r="P65" s="152">
        <v>2240</v>
      </c>
      <c r="Q65" s="149" t="s">
        <v>237</v>
      </c>
      <c r="R65" s="150"/>
      <c r="S65" s="148"/>
      <c r="T65" s="148"/>
      <c r="U65" s="410"/>
      <c r="V65" s="431"/>
      <c r="W65" s="434"/>
      <c r="X65" s="104">
        <v>166</v>
      </c>
    </row>
    <row r="66" spans="1:24" s="104" customFormat="1" x14ac:dyDescent="0.25">
      <c r="A66" s="428"/>
      <c r="B66" s="422"/>
      <c r="C66" s="422"/>
      <c r="D66" s="422"/>
      <c r="E66" s="422"/>
      <c r="F66" s="404"/>
      <c r="G66" s="407"/>
      <c r="H66" s="410"/>
      <c r="I66" s="413"/>
      <c r="J66" s="416"/>
      <c r="K66" s="419"/>
      <c r="L66" s="422"/>
      <c r="M66" s="422"/>
      <c r="N66" s="147" t="s">
        <v>222</v>
      </c>
      <c r="O66" s="404"/>
      <c r="P66" s="152">
        <v>11901.72</v>
      </c>
      <c r="Q66" s="149" t="s">
        <v>237</v>
      </c>
      <c r="R66" s="150"/>
      <c r="S66" s="148"/>
      <c r="T66" s="148"/>
      <c r="U66" s="410"/>
      <c r="V66" s="431"/>
      <c r="W66" s="434"/>
      <c r="X66" s="104">
        <v>166</v>
      </c>
    </row>
    <row r="67" spans="1:24" s="104" customFormat="1" x14ac:dyDescent="0.25">
      <c r="A67" s="428"/>
      <c r="B67" s="422"/>
      <c r="C67" s="422"/>
      <c r="D67" s="422"/>
      <c r="E67" s="422"/>
      <c r="F67" s="404"/>
      <c r="G67" s="407"/>
      <c r="H67" s="410"/>
      <c r="I67" s="413"/>
      <c r="J67" s="416"/>
      <c r="K67" s="419"/>
      <c r="L67" s="422"/>
      <c r="M67" s="422"/>
      <c r="N67" s="147" t="s">
        <v>222</v>
      </c>
      <c r="O67" s="404"/>
      <c r="P67" s="152">
        <v>9737.8799999999992</v>
      </c>
      <c r="Q67" s="149" t="s">
        <v>237</v>
      </c>
      <c r="R67" s="150"/>
      <c r="S67" s="148"/>
      <c r="T67" s="148"/>
      <c r="U67" s="410"/>
      <c r="V67" s="431"/>
      <c r="W67" s="434"/>
      <c r="X67" s="104">
        <v>166</v>
      </c>
    </row>
    <row r="68" spans="1:24" s="104" customFormat="1" x14ac:dyDescent="0.25">
      <c r="A68" s="428"/>
      <c r="B68" s="422"/>
      <c r="C68" s="422"/>
      <c r="D68" s="422"/>
      <c r="E68" s="422"/>
      <c r="F68" s="404"/>
      <c r="G68" s="407"/>
      <c r="H68" s="410"/>
      <c r="I68" s="413"/>
      <c r="J68" s="416"/>
      <c r="K68" s="419"/>
      <c r="L68" s="422"/>
      <c r="M68" s="422"/>
      <c r="N68" s="147" t="s">
        <v>222</v>
      </c>
      <c r="O68" s="404"/>
      <c r="P68" s="152">
        <v>7280</v>
      </c>
      <c r="Q68" s="149" t="s">
        <v>237</v>
      </c>
      <c r="R68" s="150"/>
      <c r="S68" s="148"/>
      <c r="T68" s="148"/>
      <c r="U68" s="410"/>
      <c r="V68" s="431"/>
      <c r="W68" s="434"/>
      <c r="X68" s="104">
        <v>166</v>
      </c>
    </row>
    <row r="69" spans="1:24" s="104" customFormat="1" x14ac:dyDescent="0.25">
      <c r="A69" s="428"/>
      <c r="B69" s="422"/>
      <c r="C69" s="422"/>
      <c r="D69" s="422"/>
      <c r="E69" s="422"/>
      <c r="F69" s="404"/>
      <c r="G69" s="407"/>
      <c r="H69" s="410"/>
      <c r="I69" s="413"/>
      <c r="J69" s="416"/>
      <c r="K69" s="419"/>
      <c r="L69" s="422"/>
      <c r="M69" s="422"/>
      <c r="N69" s="147" t="s">
        <v>290</v>
      </c>
      <c r="O69" s="404"/>
      <c r="P69" s="148">
        <v>54516</v>
      </c>
      <c r="Q69" s="149" t="s">
        <v>294</v>
      </c>
      <c r="R69" s="150"/>
      <c r="S69" s="148"/>
      <c r="T69" s="148"/>
      <c r="U69" s="410"/>
      <c r="V69" s="431"/>
      <c r="W69" s="434"/>
      <c r="X69" s="104">
        <v>166</v>
      </c>
    </row>
    <row r="70" spans="1:24" s="104" customFormat="1" x14ac:dyDescent="0.25">
      <c r="A70" s="428"/>
      <c r="B70" s="422"/>
      <c r="C70" s="422"/>
      <c r="D70" s="422"/>
      <c r="E70" s="422"/>
      <c r="F70" s="404"/>
      <c r="G70" s="407"/>
      <c r="H70" s="410"/>
      <c r="I70" s="413"/>
      <c r="J70" s="416"/>
      <c r="K70" s="419"/>
      <c r="L70" s="422"/>
      <c r="M70" s="422"/>
      <c r="N70" s="147" t="s">
        <v>290</v>
      </c>
      <c r="O70" s="404"/>
      <c r="P70" s="148">
        <v>10296.61</v>
      </c>
      <c r="Q70" s="149" t="s">
        <v>294</v>
      </c>
      <c r="R70" s="150"/>
      <c r="S70" s="148"/>
      <c r="T70" s="148"/>
      <c r="U70" s="410"/>
      <c r="V70" s="431"/>
      <c r="W70" s="434"/>
      <c r="X70" s="104">
        <v>166</v>
      </c>
    </row>
    <row r="71" spans="1:24" s="104" customFormat="1" x14ac:dyDescent="0.25">
      <c r="A71" s="428"/>
      <c r="B71" s="422"/>
      <c r="C71" s="422"/>
      <c r="D71" s="422"/>
      <c r="E71" s="422"/>
      <c r="F71" s="404"/>
      <c r="G71" s="407"/>
      <c r="H71" s="410"/>
      <c r="I71" s="413"/>
      <c r="J71" s="416"/>
      <c r="K71" s="419"/>
      <c r="L71" s="422"/>
      <c r="M71" s="422"/>
      <c r="N71" s="147" t="s">
        <v>290</v>
      </c>
      <c r="O71" s="404"/>
      <c r="P71" s="148">
        <v>8424.59</v>
      </c>
      <c r="Q71" s="149" t="s">
        <v>294</v>
      </c>
      <c r="R71" s="150"/>
      <c r="S71" s="148"/>
      <c r="T71" s="148"/>
      <c r="U71" s="410"/>
      <c r="V71" s="431"/>
      <c r="W71" s="434"/>
      <c r="X71" s="104">
        <v>166</v>
      </c>
    </row>
    <row r="72" spans="1:24" s="104" customFormat="1" x14ac:dyDescent="0.25">
      <c r="A72" s="428"/>
      <c r="B72" s="422"/>
      <c r="C72" s="422"/>
      <c r="D72" s="422"/>
      <c r="E72" s="422"/>
      <c r="F72" s="404"/>
      <c r="G72" s="407"/>
      <c r="H72" s="410"/>
      <c r="I72" s="413"/>
      <c r="J72" s="416"/>
      <c r="K72" s="419"/>
      <c r="L72" s="422"/>
      <c r="M72" s="422"/>
      <c r="N72" s="147" t="s">
        <v>290</v>
      </c>
      <c r="O72" s="404"/>
      <c r="P72" s="148">
        <v>6300</v>
      </c>
      <c r="Q72" s="149" t="s">
        <v>294</v>
      </c>
      <c r="R72" s="150"/>
      <c r="S72" s="148"/>
      <c r="T72" s="148"/>
      <c r="U72" s="410"/>
      <c r="V72" s="431"/>
      <c r="W72" s="434"/>
      <c r="X72" s="104">
        <v>166</v>
      </c>
    </row>
    <row r="73" spans="1:24" s="104" customFormat="1" x14ac:dyDescent="0.25">
      <c r="A73" s="428"/>
      <c r="B73" s="422"/>
      <c r="C73" s="422"/>
      <c r="D73" s="422"/>
      <c r="E73" s="422"/>
      <c r="F73" s="404"/>
      <c r="G73" s="407"/>
      <c r="H73" s="410"/>
      <c r="I73" s="413"/>
      <c r="J73" s="416"/>
      <c r="K73" s="419"/>
      <c r="L73" s="422"/>
      <c r="M73" s="422"/>
      <c r="N73" s="147" t="s">
        <v>290</v>
      </c>
      <c r="O73" s="404"/>
      <c r="P73" s="148">
        <v>5812.8</v>
      </c>
      <c r="Q73" s="149" t="s">
        <v>294</v>
      </c>
      <c r="R73" s="150"/>
      <c r="S73" s="148"/>
      <c r="T73" s="148"/>
      <c r="U73" s="410"/>
      <c r="V73" s="431"/>
      <c r="W73" s="434"/>
      <c r="X73" s="104">
        <v>166</v>
      </c>
    </row>
    <row r="74" spans="1:24" s="104" customFormat="1" x14ac:dyDescent="0.25">
      <c r="A74" s="428"/>
      <c r="B74" s="422"/>
      <c r="C74" s="422"/>
      <c r="D74" s="422"/>
      <c r="E74" s="422"/>
      <c r="F74" s="404"/>
      <c r="G74" s="407"/>
      <c r="H74" s="410"/>
      <c r="I74" s="413"/>
      <c r="J74" s="416"/>
      <c r="K74" s="419"/>
      <c r="L74" s="422"/>
      <c r="M74" s="422"/>
      <c r="N74" s="147" t="s">
        <v>290</v>
      </c>
      <c r="O74" s="404"/>
      <c r="P74" s="148">
        <v>1960</v>
      </c>
      <c r="Q74" s="149" t="s">
        <v>294</v>
      </c>
      <c r="R74" s="150"/>
      <c r="S74" s="148"/>
      <c r="T74" s="148"/>
      <c r="U74" s="410"/>
      <c r="V74" s="431"/>
      <c r="W74" s="434"/>
      <c r="X74" s="104">
        <v>166</v>
      </c>
    </row>
    <row r="75" spans="1:24" s="104" customFormat="1" x14ac:dyDescent="0.25">
      <c r="A75" s="428"/>
      <c r="B75" s="422"/>
      <c r="C75" s="422"/>
      <c r="D75" s="422"/>
      <c r="E75" s="422"/>
      <c r="F75" s="404"/>
      <c r="G75" s="407"/>
      <c r="H75" s="410"/>
      <c r="I75" s="413"/>
      <c r="J75" s="416"/>
      <c r="K75" s="419"/>
      <c r="L75" s="422"/>
      <c r="M75" s="422"/>
      <c r="N75" s="147" t="s">
        <v>290</v>
      </c>
      <c r="O75" s="404"/>
      <c r="P75" s="148">
        <v>1170.4000000000001</v>
      </c>
      <c r="Q75" s="149" t="s">
        <v>295</v>
      </c>
      <c r="R75" s="150"/>
      <c r="S75" s="148"/>
      <c r="T75" s="148"/>
      <c r="U75" s="410"/>
      <c r="V75" s="431"/>
      <c r="W75" s="434"/>
      <c r="X75" s="104">
        <v>166</v>
      </c>
    </row>
    <row r="76" spans="1:24" s="104" customFormat="1" x14ac:dyDescent="0.25">
      <c r="A76" s="429"/>
      <c r="B76" s="423"/>
      <c r="C76" s="423"/>
      <c r="D76" s="423"/>
      <c r="E76" s="423"/>
      <c r="F76" s="405"/>
      <c r="G76" s="408"/>
      <c r="H76" s="411"/>
      <c r="I76" s="414"/>
      <c r="J76" s="417"/>
      <c r="K76" s="420"/>
      <c r="L76" s="423"/>
      <c r="M76" s="423"/>
      <c r="N76" s="146" t="s">
        <v>290</v>
      </c>
      <c r="O76" s="405"/>
      <c r="P76" s="142">
        <v>4681.6000000000004</v>
      </c>
      <c r="Q76" s="143" t="s">
        <v>295</v>
      </c>
      <c r="R76" s="144"/>
      <c r="S76" s="142"/>
      <c r="T76" s="142"/>
      <c r="U76" s="411"/>
      <c r="V76" s="432"/>
      <c r="W76" s="435"/>
      <c r="X76" s="104">
        <v>166</v>
      </c>
    </row>
    <row r="77" spans="1:24" s="85" customFormat="1" ht="54" customHeight="1" x14ac:dyDescent="0.25">
      <c r="A77" s="454">
        <v>12</v>
      </c>
      <c r="B77" s="463" t="s">
        <v>56</v>
      </c>
      <c r="C77" s="463"/>
      <c r="D77" s="463"/>
      <c r="E77" s="463" t="s">
        <v>161</v>
      </c>
      <c r="F77" s="457" t="s">
        <v>181</v>
      </c>
      <c r="G77" s="469" t="s">
        <v>228</v>
      </c>
      <c r="H77" s="460">
        <v>84968</v>
      </c>
      <c r="I77" s="472">
        <f>IF(X77 = 168, H77 + SUM(S77:S79) - SUM(T77:T79) - SUM(P77:P79) - V77,0)</f>
        <v>69488</v>
      </c>
      <c r="J77" s="475">
        <v>2353017179</v>
      </c>
      <c r="K77" s="478" t="s">
        <v>229</v>
      </c>
      <c r="L77" s="463"/>
      <c r="M77" s="463" t="s">
        <v>230</v>
      </c>
      <c r="N77" s="168" t="s">
        <v>222</v>
      </c>
      <c r="O77" s="457" t="s">
        <v>231</v>
      </c>
      <c r="P77" s="153">
        <v>2924</v>
      </c>
      <c r="Q77" s="154" t="s">
        <v>232</v>
      </c>
      <c r="R77" s="155"/>
      <c r="S77" s="153"/>
      <c r="T77" s="153"/>
      <c r="U77" s="460"/>
      <c r="V77" s="466"/>
      <c r="W77" s="509"/>
      <c r="X77" s="85">
        <v>168</v>
      </c>
    </row>
    <row r="78" spans="1:24" s="104" customFormat="1" x14ac:dyDescent="0.25">
      <c r="A78" s="455"/>
      <c r="B78" s="464"/>
      <c r="C78" s="464"/>
      <c r="D78" s="464"/>
      <c r="E78" s="464"/>
      <c r="F78" s="458"/>
      <c r="G78" s="470"/>
      <c r="H78" s="461"/>
      <c r="I78" s="473"/>
      <c r="J78" s="476"/>
      <c r="K78" s="479"/>
      <c r="L78" s="464"/>
      <c r="M78" s="464"/>
      <c r="N78" s="169" t="s">
        <v>261</v>
      </c>
      <c r="O78" s="458"/>
      <c r="P78" s="156">
        <v>5332</v>
      </c>
      <c r="Q78" s="157" t="s">
        <v>264</v>
      </c>
      <c r="R78" s="158"/>
      <c r="S78" s="156"/>
      <c r="T78" s="156"/>
      <c r="U78" s="461"/>
      <c r="V78" s="467"/>
      <c r="W78" s="510"/>
      <c r="X78" s="104">
        <v>168</v>
      </c>
    </row>
    <row r="79" spans="1:24" s="104" customFormat="1" x14ac:dyDescent="0.25">
      <c r="A79" s="456"/>
      <c r="B79" s="465"/>
      <c r="C79" s="465"/>
      <c r="D79" s="465"/>
      <c r="E79" s="465"/>
      <c r="F79" s="459"/>
      <c r="G79" s="471"/>
      <c r="H79" s="462"/>
      <c r="I79" s="474"/>
      <c r="J79" s="477"/>
      <c r="K79" s="480"/>
      <c r="L79" s="465"/>
      <c r="M79" s="465"/>
      <c r="N79" s="170" t="s">
        <v>290</v>
      </c>
      <c r="O79" s="459"/>
      <c r="P79" s="164">
        <v>7224</v>
      </c>
      <c r="Q79" s="165" t="s">
        <v>299</v>
      </c>
      <c r="R79" s="166"/>
      <c r="S79" s="164"/>
      <c r="T79" s="164"/>
      <c r="U79" s="462"/>
      <c r="V79" s="468"/>
      <c r="W79" s="511"/>
      <c r="X79" s="104">
        <v>168</v>
      </c>
    </row>
    <row r="80" spans="1:24" s="85" customFormat="1" ht="36" customHeight="1" x14ac:dyDescent="0.25">
      <c r="A80" s="315">
        <v>13</v>
      </c>
      <c r="B80" s="321" t="s">
        <v>56</v>
      </c>
      <c r="C80" s="321"/>
      <c r="D80" s="321"/>
      <c r="E80" s="321" t="s">
        <v>233</v>
      </c>
      <c r="F80" s="317" t="s">
        <v>232</v>
      </c>
      <c r="G80" s="325" t="s">
        <v>234</v>
      </c>
      <c r="H80" s="319">
        <v>16305</v>
      </c>
      <c r="I80" s="327">
        <f>IF(X80 = 169, H80 + SUM(S80:S81) - SUM(T80:T81) - SUM(P80:P81) - V80,0)</f>
        <v>0</v>
      </c>
      <c r="J80" s="440">
        <v>235000239811</v>
      </c>
      <c r="K80" s="442" t="s">
        <v>235</v>
      </c>
      <c r="L80" s="321"/>
      <c r="M80" s="321" t="s">
        <v>236</v>
      </c>
      <c r="N80" s="105" t="s">
        <v>232</v>
      </c>
      <c r="O80" s="317" t="s">
        <v>231</v>
      </c>
      <c r="P80" s="106">
        <v>12880</v>
      </c>
      <c r="Q80" s="107" t="s">
        <v>237</v>
      </c>
      <c r="R80" s="108"/>
      <c r="S80" s="106"/>
      <c r="T80" s="106"/>
      <c r="U80" s="319"/>
      <c r="V80" s="438"/>
      <c r="W80" s="329"/>
      <c r="X80" s="85">
        <v>169</v>
      </c>
    </row>
    <row r="81" spans="1:24" s="104" customFormat="1" x14ac:dyDescent="0.25">
      <c r="A81" s="316"/>
      <c r="B81" s="322"/>
      <c r="C81" s="322"/>
      <c r="D81" s="322"/>
      <c r="E81" s="322"/>
      <c r="F81" s="318"/>
      <c r="G81" s="326"/>
      <c r="H81" s="320"/>
      <c r="I81" s="328"/>
      <c r="J81" s="441"/>
      <c r="K81" s="443"/>
      <c r="L81" s="322"/>
      <c r="M81" s="322"/>
      <c r="N81" s="109" t="s">
        <v>232</v>
      </c>
      <c r="O81" s="318"/>
      <c r="P81" s="110">
        <v>3425</v>
      </c>
      <c r="Q81" s="111" t="s">
        <v>237</v>
      </c>
      <c r="R81" s="112"/>
      <c r="S81" s="110"/>
      <c r="T81" s="110"/>
      <c r="U81" s="320"/>
      <c r="V81" s="439"/>
      <c r="W81" s="330"/>
      <c r="X81" s="104">
        <v>169</v>
      </c>
    </row>
    <row r="82" spans="1:24" s="85" customFormat="1" ht="56.25" x14ac:dyDescent="0.25">
      <c r="A82" s="86">
        <v>14</v>
      </c>
      <c r="B82" s="88" t="s">
        <v>56</v>
      </c>
      <c r="C82" s="88"/>
      <c r="D82" s="88"/>
      <c r="E82" s="88" t="s">
        <v>238</v>
      </c>
      <c r="F82" s="103" t="s">
        <v>239</v>
      </c>
      <c r="G82" s="91" t="s">
        <v>240</v>
      </c>
      <c r="H82" s="87">
        <v>53310</v>
      </c>
      <c r="I82" s="92">
        <f>IF(X82 = 170, H82 + SUM(S82:S82) - SUM(T82:T82) - SUM(P82:P82) - V82,0)</f>
        <v>0</v>
      </c>
      <c r="J82" s="93">
        <v>235303483777</v>
      </c>
      <c r="K82" s="94" t="s">
        <v>241</v>
      </c>
      <c r="L82" s="88"/>
      <c r="M82" s="88" t="s">
        <v>268</v>
      </c>
      <c r="N82" s="103" t="s">
        <v>224</v>
      </c>
      <c r="O82" s="103" t="s">
        <v>179</v>
      </c>
      <c r="P82" s="87">
        <v>53310</v>
      </c>
      <c r="Q82" s="91" t="s">
        <v>242</v>
      </c>
      <c r="R82" s="88"/>
      <c r="S82" s="87"/>
      <c r="T82" s="87"/>
      <c r="U82" s="87"/>
      <c r="V82" s="89"/>
      <c r="W82" s="90"/>
      <c r="X82" s="85">
        <v>170</v>
      </c>
    </row>
    <row r="83" spans="1:24" s="85" customFormat="1" ht="36" customHeight="1" x14ac:dyDescent="0.25">
      <c r="A83" s="444">
        <v>15</v>
      </c>
      <c r="B83" s="450" t="s">
        <v>56</v>
      </c>
      <c r="C83" s="450"/>
      <c r="D83" s="450"/>
      <c r="E83" s="450" t="s">
        <v>160</v>
      </c>
      <c r="F83" s="446" t="s">
        <v>266</v>
      </c>
      <c r="G83" s="501" t="s">
        <v>234</v>
      </c>
      <c r="H83" s="448">
        <v>73830</v>
      </c>
      <c r="I83" s="503">
        <f>IF(X83 = 171, H83 + SUM(S83:S84) - SUM(T83:T84) - SUM(P83:P84) - V83,0)</f>
        <v>0</v>
      </c>
      <c r="J83" s="505">
        <v>235305540660</v>
      </c>
      <c r="K83" s="507" t="s">
        <v>267</v>
      </c>
      <c r="L83" s="450"/>
      <c r="M83" s="450" t="s">
        <v>269</v>
      </c>
      <c r="N83" s="134" t="s">
        <v>263</v>
      </c>
      <c r="O83" s="446" t="s">
        <v>231</v>
      </c>
      <c r="P83" s="130">
        <v>50900</v>
      </c>
      <c r="Q83" s="131" t="s">
        <v>264</v>
      </c>
      <c r="R83" s="137"/>
      <c r="S83" s="130"/>
      <c r="T83" s="130"/>
      <c r="U83" s="448"/>
      <c r="V83" s="452"/>
      <c r="W83" s="499"/>
      <c r="X83" s="85">
        <v>171</v>
      </c>
    </row>
    <row r="84" spans="1:24" s="104" customFormat="1" x14ac:dyDescent="0.25">
      <c r="A84" s="445"/>
      <c r="B84" s="451"/>
      <c r="C84" s="451"/>
      <c r="D84" s="451"/>
      <c r="E84" s="451"/>
      <c r="F84" s="447"/>
      <c r="G84" s="502"/>
      <c r="H84" s="449"/>
      <c r="I84" s="504"/>
      <c r="J84" s="506"/>
      <c r="K84" s="508"/>
      <c r="L84" s="451"/>
      <c r="M84" s="451"/>
      <c r="N84" s="135" t="s">
        <v>263</v>
      </c>
      <c r="O84" s="447"/>
      <c r="P84" s="132">
        <v>22930</v>
      </c>
      <c r="Q84" s="133" t="s">
        <v>264</v>
      </c>
      <c r="R84" s="138"/>
      <c r="S84" s="132"/>
      <c r="T84" s="132"/>
      <c r="U84" s="449"/>
      <c r="V84" s="453"/>
      <c r="W84" s="500"/>
      <c r="X84" s="104">
        <v>171</v>
      </c>
    </row>
    <row r="85" spans="1:24" s="85" customFormat="1" ht="56.25" x14ac:dyDescent="0.25">
      <c r="A85" s="113">
        <v>16</v>
      </c>
      <c r="B85" s="114" t="s">
        <v>56</v>
      </c>
      <c r="C85" s="114"/>
      <c r="D85" s="114"/>
      <c r="E85" s="114" t="s">
        <v>238</v>
      </c>
      <c r="F85" s="136" t="s">
        <v>261</v>
      </c>
      <c r="G85" s="115" t="s">
        <v>270</v>
      </c>
      <c r="H85" s="116">
        <v>12630</v>
      </c>
      <c r="I85" s="117">
        <f>IF(X85 = 172, H85 + SUM(S85:S85) - SUM(T85:T85) - SUM(P85:P85) - V85,0)</f>
        <v>0</v>
      </c>
      <c r="J85" s="93">
        <v>235303483777</v>
      </c>
      <c r="K85" s="94" t="s">
        <v>241</v>
      </c>
      <c r="L85" s="114"/>
      <c r="M85" s="114" t="s">
        <v>271</v>
      </c>
      <c r="N85" s="136" t="s">
        <v>261</v>
      </c>
      <c r="O85" s="103" t="s">
        <v>179</v>
      </c>
      <c r="P85" s="116">
        <v>12630</v>
      </c>
      <c r="Q85" s="115" t="s">
        <v>272</v>
      </c>
      <c r="R85" s="114"/>
      <c r="S85" s="116"/>
      <c r="T85" s="116"/>
      <c r="U85" s="116"/>
      <c r="V85" s="120"/>
      <c r="W85" s="121"/>
      <c r="X85" s="85">
        <v>172</v>
      </c>
    </row>
    <row r="86" spans="1:24" s="85" customFormat="1" ht="75" x14ac:dyDescent="0.25">
      <c r="A86" s="113">
        <v>17</v>
      </c>
      <c r="B86" s="114" t="s">
        <v>56</v>
      </c>
      <c r="C86" s="114"/>
      <c r="D86" s="114"/>
      <c r="E86" s="114" t="s">
        <v>273</v>
      </c>
      <c r="F86" s="136" t="s">
        <v>247</v>
      </c>
      <c r="G86" s="115" t="s">
        <v>274</v>
      </c>
      <c r="H86" s="116">
        <v>10000</v>
      </c>
      <c r="I86" s="117">
        <f>IF(X86 = 173, H86 + SUM(S86:S86) - SUM(T86:T86) - SUM(P86:P86) - V86,0)</f>
        <v>0</v>
      </c>
      <c r="J86" s="118">
        <v>235301015365</v>
      </c>
      <c r="K86" s="119" t="s">
        <v>275</v>
      </c>
      <c r="L86" s="114"/>
      <c r="M86" s="114"/>
      <c r="N86" s="136" t="s">
        <v>254</v>
      </c>
      <c r="O86" s="136" t="s">
        <v>179</v>
      </c>
      <c r="P86" s="116">
        <v>10000</v>
      </c>
      <c r="Q86" s="115" t="s">
        <v>272</v>
      </c>
      <c r="R86" s="114"/>
      <c r="S86" s="116"/>
      <c r="T86" s="116"/>
      <c r="U86" s="116"/>
      <c r="V86" s="120"/>
      <c r="W86" s="121"/>
      <c r="X86" s="85">
        <v>173</v>
      </c>
    </row>
    <row r="87" spans="1:24" s="85" customFormat="1" ht="56.25" x14ac:dyDescent="0.25">
      <c r="A87" s="113">
        <v>18</v>
      </c>
      <c r="B87" s="114" t="s">
        <v>56</v>
      </c>
      <c r="C87" s="114"/>
      <c r="D87" s="114"/>
      <c r="E87" s="114" t="s">
        <v>276</v>
      </c>
      <c r="F87" s="136" t="s">
        <v>264</v>
      </c>
      <c r="G87" s="115" t="s">
        <v>270</v>
      </c>
      <c r="H87" s="116">
        <v>9760</v>
      </c>
      <c r="I87" s="117">
        <f>IF(X87 = 174, H87 + SUM(S87:S87) - SUM(T87:T87) - SUM(P87:P87) - V87,0)</f>
        <v>0</v>
      </c>
      <c r="J87" s="93">
        <v>235303483777</v>
      </c>
      <c r="K87" s="94" t="s">
        <v>241</v>
      </c>
      <c r="L87" s="114"/>
      <c r="M87" s="114" t="s">
        <v>277</v>
      </c>
      <c r="N87" s="136" t="s">
        <v>264</v>
      </c>
      <c r="O87" s="103" t="s">
        <v>179</v>
      </c>
      <c r="P87" s="116">
        <v>9760</v>
      </c>
      <c r="Q87" s="115" t="s">
        <v>278</v>
      </c>
      <c r="R87" s="114"/>
      <c r="S87" s="116"/>
      <c r="T87" s="116"/>
      <c r="U87" s="116"/>
      <c r="V87" s="120"/>
      <c r="W87" s="121"/>
      <c r="X87" s="85">
        <v>174</v>
      </c>
    </row>
    <row r="88" spans="1:24" s="85" customFormat="1" ht="37.5" x14ac:dyDescent="0.25">
      <c r="A88" s="113">
        <v>19</v>
      </c>
      <c r="B88" s="114" t="s">
        <v>56</v>
      </c>
      <c r="C88" s="114"/>
      <c r="D88" s="114"/>
      <c r="E88" s="114" t="s">
        <v>279</v>
      </c>
      <c r="F88" s="136" t="s">
        <v>247</v>
      </c>
      <c r="G88" s="115" t="s">
        <v>280</v>
      </c>
      <c r="H88" s="116">
        <v>20685.099999999999</v>
      </c>
      <c r="I88" s="117">
        <f>IF(X88 = 175, H88 + SUM(S88:S88) - SUM(T88:T88) - SUM(P88:P88) - V88,0)</f>
        <v>0</v>
      </c>
      <c r="J88" s="118">
        <v>7706526550</v>
      </c>
      <c r="K88" s="119" t="s">
        <v>281</v>
      </c>
      <c r="L88" s="114"/>
      <c r="M88" s="114" t="s">
        <v>282</v>
      </c>
      <c r="N88" s="136" t="s">
        <v>263</v>
      </c>
      <c r="O88" s="136" t="s">
        <v>283</v>
      </c>
      <c r="P88" s="116">
        <v>20685.099999999999</v>
      </c>
      <c r="Q88" s="115" t="s">
        <v>284</v>
      </c>
      <c r="R88" s="114"/>
      <c r="S88" s="116"/>
      <c r="T88" s="116"/>
      <c r="U88" s="116"/>
      <c r="V88" s="120"/>
      <c r="W88" s="121"/>
      <c r="X88" s="85">
        <v>175</v>
      </c>
    </row>
    <row r="89" spans="1:24" s="85" customFormat="1" ht="37.5" x14ac:dyDescent="0.25">
      <c r="A89" s="113">
        <v>20</v>
      </c>
      <c r="B89" s="114" t="s">
        <v>56</v>
      </c>
      <c r="C89" s="114"/>
      <c r="D89" s="114"/>
      <c r="E89" s="114" t="s">
        <v>285</v>
      </c>
      <c r="F89" s="136" t="s">
        <v>247</v>
      </c>
      <c r="G89" s="115" t="s">
        <v>286</v>
      </c>
      <c r="H89" s="116">
        <v>2625</v>
      </c>
      <c r="I89" s="117">
        <f>IF(X89 = 176, H89 + SUM(S89:S89) - SUM(T89:T89) - SUM(P89:P89) - V89,0)</f>
        <v>0</v>
      </c>
      <c r="J89" s="118">
        <v>7728499444</v>
      </c>
      <c r="K89" s="119" t="s">
        <v>287</v>
      </c>
      <c r="L89" s="114"/>
      <c r="M89" s="114" t="s">
        <v>282</v>
      </c>
      <c r="N89" s="136" t="s">
        <v>247</v>
      </c>
      <c r="O89" s="136" t="s">
        <v>283</v>
      </c>
      <c r="P89" s="116">
        <v>2625</v>
      </c>
      <c r="Q89" s="115" t="s">
        <v>284</v>
      </c>
      <c r="R89" s="114"/>
      <c r="S89" s="116"/>
      <c r="T89" s="116"/>
      <c r="U89" s="116"/>
      <c r="V89" s="120"/>
      <c r="W89" s="121"/>
      <c r="X89" s="85">
        <v>176</v>
      </c>
    </row>
    <row r="90" spans="1:24" s="85" customFormat="1" ht="54" customHeight="1" x14ac:dyDescent="0.25">
      <c r="A90" s="515">
        <v>21</v>
      </c>
      <c r="B90" s="484" t="s">
        <v>56</v>
      </c>
      <c r="C90" s="484"/>
      <c r="D90" s="484"/>
      <c r="E90" s="484" t="s">
        <v>249</v>
      </c>
      <c r="F90" s="487" t="s">
        <v>261</v>
      </c>
      <c r="G90" s="490" t="s">
        <v>302</v>
      </c>
      <c r="H90" s="493">
        <v>511700</v>
      </c>
      <c r="I90" s="496">
        <f>IF(X90 = 177, H90 + SUM(S90:S91) - SUM(T90:T91) - SUM(P90:P91) - V90,0)</f>
        <v>320726</v>
      </c>
      <c r="J90" s="518">
        <v>235300578903</v>
      </c>
      <c r="K90" s="521" t="s">
        <v>220</v>
      </c>
      <c r="L90" s="484"/>
      <c r="M90" s="484" t="s">
        <v>303</v>
      </c>
      <c r="N90" s="251" t="s">
        <v>290</v>
      </c>
      <c r="O90" s="487" t="s">
        <v>304</v>
      </c>
      <c r="P90" s="242">
        <v>78114</v>
      </c>
      <c r="Q90" s="243" t="s">
        <v>299</v>
      </c>
      <c r="R90" s="244"/>
      <c r="S90" s="242"/>
      <c r="T90" s="242"/>
      <c r="U90" s="493"/>
      <c r="V90" s="512"/>
      <c r="W90" s="481"/>
      <c r="X90" s="85">
        <v>177</v>
      </c>
    </row>
    <row r="91" spans="1:24" s="104" customFormat="1" x14ac:dyDescent="0.25">
      <c r="A91" s="517"/>
      <c r="B91" s="486"/>
      <c r="C91" s="486"/>
      <c r="D91" s="486"/>
      <c r="E91" s="486"/>
      <c r="F91" s="489"/>
      <c r="G91" s="492"/>
      <c r="H91" s="495"/>
      <c r="I91" s="498"/>
      <c r="J91" s="520"/>
      <c r="K91" s="523"/>
      <c r="L91" s="486"/>
      <c r="M91" s="486"/>
      <c r="N91" s="253">
        <v>45777</v>
      </c>
      <c r="O91" s="489"/>
      <c r="P91" s="248">
        <v>112860</v>
      </c>
      <c r="Q91" s="249" t="s">
        <v>360</v>
      </c>
      <c r="R91" s="250"/>
      <c r="S91" s="248"/>
      <c r="T91" s="248"/>
      <c r="U91" s="495"/>
      <c r="V91" s="514"/>
      <c r="W91" s="483"/>
      <c r="X91" s="104">
        <v>177</v>
      </c>
    </row>
    <row r="92" spans="1:24" s="85" customFormat="1" ht="56.25" x14ac:dyDescent="0.25">
      <c r="A92" s="178">
        <v>22</v>
      </c>
      <c r="B92" s="171" t="s">
        <v>56</v>
      </c>
      <c r="C92" s="171"/>
      <c r="D92" s="171"/>
      <c r="E92" s="171" t="s">
        <v>334</v>
      </c>
      <c r="F92" s="182" t="s">
        <v>181</v>
      </c>
      <c r="G92" s="173" t="s">
        <v>335</v>
      </c>
      <c r="H92" s="174">
        <v>34646.080000000002</v>
      </c>
      <c r="I92" s="175">
        <f>IF(X92 = 178, H92 + SUM(S92:S92) - SUM(T92:T92) - SUM(P92:P92) - V92,0)</f>
        <v>25984.560000000001</v>
      </c>
      <c r="J92" s="176">
        <v>2353018870</v>
      </c>
      <c r="K92" s="177" t="s">
        <v>336</v>
      </c>
      <c r="L92" s="171"/>
      <c r="M92" s="171" t="s">
        <v>171</v>
      </c>
      <c r="N92" s="182" t="s">
        <v>337</v>
      </c>
      <c r="O92" s="182" t="s">
        <v>304</v>
      </c>
      <c r="P92" s="174">
        <v>8661.52</v>
      </c>
      <c r="Q92" s="173" t="s">
        <v>297</v>
      </c>
      <c r="R92" s="171"/>
      <c r="S92" s="174"/>
      <c r="T92" s="174"/>
      <c r="U92" s="174"/>
      <c r="V92" s="179"/>
      <c r="W92" s="172"/>
      <c r="X92" s="85">
        <v>178</v>
      </c>
    </row>
    <row r="93" spans="1:24" s="85" customFormat="1" ht="72" customHeight="1" x14ac:dyDescent="0.25">
      <c r="A93" s="342">
        <v>23</v>
      </c>
      <c r="B93" s="361" t="s">
        <v>56</v>
      </c>
      <c r="C93" s="361"/>
      <c r="D93" s="361"/>
      <c r="E93" s="361" t="s">
        <v>159</v>
      </c>
      <c r="F93" s="345" t="s">
        <v>298</v>
      </c>
      <c r="G93" s="370" t="s">
        <v>363</v>
      </c>
      <c r="H93" s="358">
        <v>13104</v>
      </c>
      <c r="I93" s="373">
        <f>IF(X93 = 179, H93 + SUM(S93:S94) - SUM(T93:T94) - SUM(P93:P94) - V93,0)</f>
        <v>4172</v>
      </c>
      <c r="J93" s="524">
        <v>2353020735</v>
      </c>
      <c r="K93" s="527" t="s">
        <v>364</v>
      </c>
      <c r="L93" s="361"/>
      <c r="M93" s="361" t="s">
        <v>365</v>
      </c>
      <c r="N93" s="239" t="s">
        <v>356</v>
      </c>
      <c r="O93" s="345" t="s">
        <v>186</v>
      </c>
      <c r="P93" s="230">
        <v>5740</v>
      </c>
      <c r="Q93" s="231" t="s">
        <v>366</v>
      </c>
      <c r="R93" s="232"/>
      <c r="S93" s="230"/>
      <c r="T93" s="230"/>
      <c r="U93" s="358"/>
      <c r="V93" s="530"/>
      <c r="W93" s="367"/>
      <c r="X93" s="85">
        <v>179</v>
      </c>
    </row>
    <row r="94" spans="1:24" s="104" customFormat="1" x14ac:dyDescent="0.25">
      <c r="A94" s="344"/>
      <c r="B94" s="363"/>
      <c r="C94" s="363"/>
      <c r="D94" s="363"/>
      <c r="E94" s="363"/>
      <c r="F94" s="347"/>
      <c r="G94" s="372"/>
      <c r="H94" s="360"/>
      <c r="I94" s="375"/>
      <c r="J94" s="526"/>
      <c r="K94" s="529"/>
      <c r="L94" s="363"/>
      <c r="M94" s="363"/>
      <c r="N94" s="241" t="s">
        <v>367</v>
      </c>
      <c r="O94" s="347"/>
      <c r="P94" s="236">
        <v>3192</v>
      </c>
      <c r="Q94" s="237" t="s">
        <v>368</v>
      </c>
      <c r="R94" s="238"/>
      <c r="S94" s="236"/>
      <c r="T94" s="236"/>
      <c r="U94" s="360"/>
      <c r="V94" s="532"/>
      <c r="W94" s="369"/>
      <c r="X94" s="104">
        <v>179</v>
      </c>
    </row>
    <row r="95" spans="1:24" s="85" customFormat="1" ht="90" customHeight="1" x14ac:dyDescent="0.25">
      <c r="A95" s="342">
        <v>24</v>
      </c>
      <c r="B95" s="361" t="s">
        <v>56</v>
      </c>
      <c r="C95" s="361"/>
      <c r="D95" s="361"/>
      <c r="E95" s="361" t="s">
        <v>160</v>
      </c>
      <c r="F95" s="345" t="s">
        <v>298</v>
      </c>
      <c r="G95" s="370" t="s">
        <v>194</v>
      </c>
      <c r="H95" s="358">
        <v>322992</v>
      </c>
      <c r="I95" s="373">
        <f>IF(X95 = 180, H95 + SUM(S95:S110) - SUM(T95:T110) - SUM(P95:P110) - V95,0)</f>
        <v>105418.20000000001</v>
      </c>
      <c r="J95" s="524">
        <v>2353020735</v>
      </c>
      <c r="K95" s="527" t="s">
        <v>364</v>
      </c>
      <c r="L95" s="361"/>
      <c r="M95" s="361" t="s">
        <v>365</v>
      </c>
      <c r="N95" s="239" t="s">
        <v>356</v>
      </c>
      <c r="O95" s="345" t="s">
        <v>186</v>
      </c>
      <c r="P95" s="230">
        <v>79618</v>
      </c>
      <c r="Q95" s="231" t="s">
        <v>366</v>
      </c>
      <c r="R95" s="232"/>
      <c r="S95" s="230"/>
      <c r="T95" s="230"/>
      <c r="U95" s="358"/>
      <c r="V95" s="530"/>
      <c r="W95" s="367"/>
      <c r="X95" s="85">
        <v>180</v>
      </c>
    </row>
    <row r="96" spans="1:24" s="104" customFormat="1" x14ac:dyDescent="0.25">
      <c r="A96" s="343"/>
      <c r="B96" s="362"/>
      <c r="C96" s="362"/>
      <c r="D96" s="362"/>
      <c r="E96" s="362"/>
      <c r="F96" s="346"/>
      <c r="G96" s="371"/>
      <c r="H96" s="359"/>
      <c r="I96" s="374"/>
      <c r="J96" s="525"/>
      <c r="K96" s="528"/>
      <c r="L96" s="362"/>
      <c r="M96" s="362"/>
      <c r="N96" s="240" t="s">
        <v>356</v>
      </c>
      <c r="O96" s="346"/>
      <c r="P96" s="233">
        <v>8719.2000000000007</v>
      </c>
      <c r="Q96" s="234" t="s">
        <v>366</v>
      </c>
      <c r="R96" s="235"/>
      <c r="S96" s="233"/>
      <c r="T96" s="233"/>
      <c r="U96" s="359"/>
      <c r="V96" s="531"/>
      <c r="W96" s="368"/>
      <c r="X96" s="104">
        <v>180</v>
      </c>
    </row>
    <row r="97" spans="1:24" s="104" customFormat="1" x14ac:dyDescent="0.25">
      <c r="A97" s="343"/>
      <c r="B97" s="362"/>
      <c r="C97" s="362"/>
      <c r="D97" s="362"/>
      <c r="E97" s="362"/>
      <c r="F97" s="346"/>
      <c r="G97" s="371"/>
      <c r="H97" s="359"/>
      <c r="I97" s="374"/>
      <c r="J97" s="525"/>
      <c r="K97" s="528"/>
      <c r="L97" s="362"/>
      <c r="M97" s="362"/>
      <c r="N97" s="240" t="s">
        <v>356</v>
      </c>
      <c r="O97" s="346"/>
      <c r="P97" s="233">
        <v>2940</v>
      </c>
      <c r="Q97" s="234" t="s">
        <v>366</v>
      </c>
      <c r="R97" s="235"/>
      <c r="S97" s="233"/>
      <c r="T97" s="233"/>
      <c r="U97" s="359"/>
      <c r="V97" s="531"/>
      <c r="W97" s="368"/>
      <c r="X97" s="104">
        <v>180</v>
      </c>
    </row>
    <row r="98" spans="1:24" s="104" customFormat="1" x14ac:dyDescent="0.25">
      <c r="A98" s="343"/>
      <c r="B98" s="362"/>
      <c r="C98" s="362"/>
      <c r="D98" s="362"/>
      <c r="E98" s="362"/>
      <c r="F98" s="346"/>
      <c r="G98" s="371"/>
      <c r="H98" s="359"/>
      <c r="I98" s="374"/>
      <c r="J98" s="525"/>
      <c r="K98" s="528"/>
      <c r="L98" s="362"/>
      <c r="M98" s="362"/>
      <c r="N98" s="240" t="s">
        <v>356</v>
      </c>
      <c r="O98" s="346"/>
      <c r="P98" s="233">
        <v>6529.6</v>
      </c>
      <c r="Q98" s="234" t="s">
        <v>366</v>
      </c>
      <c r="R98" s="235"/>
      <c r="S98" s="233"/>
      <c r="T98" s="233"/>
      <c r="U98" s="359"/>
      <c r="V98" s="531"/>
      <c r="W98" s="368"/>
      <c r="X98" s="104">
        <v>180</v>
      </c>
    </row>
    <row r="99" spans="1:24" s="104" customFormat="1" x14ac:dyDescent="0.25">
      <c r="A99" s="343"/>
      <c r="B99" s="362"/>
      <c r="C99" s="362"/>
      <c r="D99" s="362"/>
      <c r="E99" s="362"/>
      <c r="F99" s="346"/>
      <c r="G99" s="371"/>
      <c r="H99" s="359"/>
      <c r="I99" s="374"/>
      <c r="J99" s="525"/>
      <c r="K99" s="528"/>
      <c r="L99" s="362"/>
      <c r="M99" s="362"/>
      <c r="N99" s="240" t="s">
        <v>356</v>
      </c>
      <c r="O99" s="346"/>
      <c r="P99" s="233">
        <v>1632.4</v>
      </c>
      <c r="Q99" s="234" t="s">
        <v>366</v>
      </c>
      <c r="R99" s="235"/>
      <c r="S99" s="233"/>
      <c r="T99" s="233"/>
      <c r="U99" s="359"/>
      <c r="V99" s="531"/>
      <c r="W99" s="368"/>
      <c r="X99" s="104">
        <v>180</v>
      </c>
    </row>
    <row r="100" spans="1:24" s="104" customFormat="1" x14ac:dyDescent="0.25">
      <c r="A100" s="343"/>
      <c r="B100" s="362"/>
      <c r="C100" s="362"/>
      <c r="D100" s="362"/>
      <c r="E100" s="362"/>
      <c r="F100" s="346"/>
      <c r="G100" s="371"/>
      <c r="H100" s="359"/>
      <c r="I100" s="374"/>
      <c r="J100" s="525"/>
      <c r="K100" s="528"/>
      <c r="L100" s="362"/>
      <c r="M100" s="362"/>
      <c r="N100" s="240" t="s">
        <v>356</v>
      </c>
      <c r="O100" s="346"/>
      <c r="P100" s="233">
        <v>13731.89</v>
      </c>
      <c r="Q100" s="234" t="s">
        <v>366</v>
      </c>
      <c r="R100" s="235"/>
      <c r="S100" s="233"/>
      <c r="T100" s="233"/>
      <c r="U100" s="359"/>
      <c r="V100" s="531"/>
      <c r="W100" s="368"/>
      <c r="X100" s="104">
        <v>180</v>
      </c>
    </row>
    <row r="101" spans="1:24" s="104" customFormat="1" x14ac:dyDescent="0.25">
      <c r="A101" s="343"/>
      <c r="B101" s="362"/>
      <c r="C101" s="362"/>
      <c r="D101" s="362"/>
      <c r="E101" s="362"/>
      <c r="F101" s="346"/>
      <c r="G101" s="371"/>
      <c r="H101" s="359"/>
      <c r="I101" s="374"/>
      <c r="J101" s="525"/>
      <c r="K101" s="528"/>
      <c r="L101" s="362"/>
      <c r="M101" s="362"/>
      <c r="N101" s="240" t="s">
        <v>356</v>
      </c>
      <c r="O101" s="346"/>
      <c r="P101" s="233">
        <v>11235.31</v>
      </c>
      <c r="Q101" s="234" t="s">
        <v>366</v>
      </c>
      <c r="R101" s="235"/>
      <c r="S101" s="233"/>
      <c r="T101" s="233"/>
      <c r="U101" s="359"/>
      <c r="V101" s="531"/>
      <c r="W101" s="368"/>
      <c r="X101" s="104">
        <v>180</v>
      </c>
    </row>
    <row r="102" spans="1:24" s="104" customFormat="1" x14ac:dyDescent="0.25">
      <c r="A102" s="343"/>
      <c r="B102" s="362"/>
      <c r="C102" s="362"/>
      <c r="D102" s="362"/>
      <c r="E102" s="362"/>
      <c r="F102" s="346"/>
      <c r="G102" s="371"/>
      <c r="H102" s="359"/>
      <c r="I102" s="374"/>
      <c r="J102" s="525"/>
      <c r="K102" s="528"/>
      <c r="L102" s="362"/>
      <c r="M102" s="362"/>
      <c r="N102" s="240" t="s">
        <v>356</v>
      </c>
      <c r="O102" s="346"/>
      <c r="P102" s="233">
        <v>8400</v>
      </c>
      <c r="Q102" s="234" t="s">
        <v>366</v>
      </c>
      <c r="R102" s="235"/>
      <c r="S102" s="233"/>
      <c r="T102" s="233"/>
      <c r="U102" s="359"/>
      <c r="V102" s="531"/>
      <c r="W102" s="368"/>
      <c r="X102" s="104">
        <v>180</v>
      </c>
    </row>
    <row r="103" spans="1:24" s="104" customFormat="1" x14ac:dyDescent="0.25">
      <c r="A103" s="343"/>
      <c r="B103" s="362"/>
      <c r="C103" s="362"/>
      <c r="D103" s="362"/>
      <c r="E103" s="362"/>
      <c r="F103" s="346"/>
      <c r="G103" s="371"/>
      <c r="H103" s="359"/>
      <c r="I103" s="374"/>
      <c r="J103" s="525"/>
      <c r="K103" s="528"/>
      <c r="L103" s="362"/>
      <c r="M103" s="362"/>
      <c r="N103" s="240" t="s">
        <v>367</v>
      </c>
      <c r="O103" s="346"/>
      <c r="P103" s="233">
        <v>6335</v>
      </c>
      <c r="Q103" s="234" t="s">
        <v>368</v>
      </c>
      <c r="R103" s="235"/>
      <c r="S103" s="233"/>
      <c r="T103" s="233"/>
      <c r="U103" s="359"/>
      <c r="V103" s="531"/>
      <c r="W103" s="368"/>
      <c r="X103" s="104">
        <v>180</v>
      </c>
    </row>
    <row r="104" spans="1:24" s="104" customFormat="1" x14ac:dyDescent="0.25">
      <c r="A104" s="343"/>
      <c r="B104" s="362"/>
      <c r="C104" s="362"/>
      <c r="D104" s="362"/>
      <c r="E104" s="362"/>
      <c r="F104" s="346"/>
      <c r="G104" s="371"/>
      <c r="H104" s="359"/>
      <c r="I104" s="374"/>
      <c r="J104" s="525"/>
      <c r="K104" s="528"/>
      <c r="L104" s="362"/>
      <c r="M104" s="362"/>
      <c r="N104" s="240" t="s">
        <v>367</v>
      </c>
      <c r="O104" s="346"/>
      <c r="P104" s="233">
        <v>47586</v>
      </c>
      <c r="Q104" s="234" t="s">
        <v>368</v>
      </c>
      <c r="R104" s="235"/>
      <c r="S104" s="233"/>
      <c r="T104" s="233"/>
      <c r="U104" s="359"/>
      <c r="V104" s="531"/>
      <c r="W104" s="368"/>
      <c r="X104" s="104">
        <v>180</v>
      </c>
    </row>
    <row r="105" spans="1:24" s="104" customFormat="1" x14ac:dyDescent="0.25">
      <c r="A105" s="343"/>
      <c r="B105" s="362"/>
      <c r="C105" s="362"/>
      <c r="D105" s="362"/>
      <c r="E105" s="362"/>
      <c r="F105" s="346"/>
      <c r="G105" s="371"/>
      <c r="H105" s="359"/>
      <c r="I105" s="374"/>
      <c r="J105" s="525"/>
      <c r="K105" s="528"/>
      <c r="L105" s="362"/>
      <c r="M105" s="362"/>
      <c r="N105" s="240" t="s">
        <v>367</v>
      </c>
      <c r="O105" s="346"/>
      <c r="P105" s="233">
        <v>5190</v>
      </c>
      <c r="Q105" s="234" t="s">
        <v>368</v>
      </c>
      <c r="R105" s="235"/>
      <c r="S105" s="233"/>
      <c r="T105" s="233"/>
      <c r="U105" s="359"/>
      <c r="V105" s="531"/>
      <c r="W105" s="368"/>
      <c r="X105" s="104">
        <v>180</v>
      </c>
    </row>
    <row r="106" spans="1:24" s="104" customFormat="1" x14ac:dyDescent="0.25">
      <c r="A106" s="343"/>
      <c r="B106" s="362"/>
      <c r="C106" s="362"/>
      <c r="D106" s="362"/>
      <c r="E106" s="362"/>
      <c r="F106" s="346"/>
      <c r="G106" s="371"/>
      <c r="H106" s="359"/>
      <c r="I106" s="374"/>
      <c r="J106" s="525"/>
      <c r="K106" s="528"/>
      <c r="L106" s="362"/>
      <c r="M106" s="362"/>
      <c r="N106" s="240" t="s">
        <v>367</v>
      </c>
      <c r="O106" s="346"/>
      <c r="P106" s="233">
        <v>1750</v>
      </c>
      <c r="Q106" s="234" t="s">
        <v>368</v>
      </c>
      <c r="R106" s="235"/>
      <c r="S106" s="233"/>
      <c r="T106" s="233"/>
      <c r="U106" s="359"/>
      <c r="V106" s="531"/>
      <c r="W106" s="368"/>
      <c r="X106" s="104">
        <v>180</v>
      </c>
    </row>
    <row r="107" spans="1:24" s="104" customFormat="1" x14ac:dyDescent="0.25">
      <c r="A107" s="343"/>
      <c r="B107" s="362"/>
      <c r="C107" s="362"/>
      <c r="D107" s="362"/>
      <c r="E107" s="362"/>
      <c r="F107" s="346"/>
      <c r="G107" s="371"/>
      <c r="H107" s="359"/>
      <c r="I107" s="374"/>
      <c r="J107" s="525"/>
      <c r="K107" s="528"/>
      <c r="L107" s="362"/>
      <c r="M107" s="362"/>
      <c r="N107" s="240" t="s">
        <v>367</v>
      </c>
      <c r="O107" s="346"/>
      <c r="P107" s="233">
        <v>4065.6</v>
      </c>
      <c r="Q107" s="234" t="s">
        <v>368</v>
      </c>
      <c r="R107" s="235"/>
      <c r="S107" s="233"/>
      <c r="T107" s="233"/>
      <c r="U107" s="359"/>
      <c r="V107" s="531"/>
      <c r="W107" s="368"/>
      <c r="X107" s="104">
        <v>180</v>
      </c>
    </row>
    <row r="108" spans="1:24" s="104" customFormat="1" x14ac:dyDescent="0.25">
      <c r="A108" s="343"/>
      <c r="B108" s="362"/>
      <c r="C108" s="362"/>
      <c r="D108" s="362"/>
      <c r="E108" s="362"/>
      <c r="F108" s="346"/>
      <c r="G108" s="371"/>
      <c r="H108" s="359"/>
      <c r="I108" s="374"/>
      <c r="J108" s="525"/>
      <c r="K108" s="528"/>
      <c r="L108" s="362"/>
      <c r="M108" s="362"/>
      <c r="N108" s="240" t="s">
        <v>367</v>
      </c>
      <c r="O108" s="346"/>
      <c r="P108" s="233">
        <v>1016.4</v>
      </c>
      <c r="Q108" s="234" t="s">
        <v>368</v>
      </c>
      <c r="R108" s="235"/>
      <c r="S108" s="233"/>
      <c r="T108" s="233"/>
      <c r="U108" s="359"/>
      <c r="V108" s="531"/>
      <c r="W108" s="368"/>
      <c r="X108" s="104">
        <v>180</v>
      </c>
    </row>
    <row r="109" spans="1:24" s="104" customFormat="1" x14ac:dyDescent="0.25">
      <c r="A109" s="343"/>
      <c r="B109" s="362"/>
      <c r="C109" s="362"/>
      <c r="D109" s="362"/>
      <c r="E109" s="362"/>
      <c r="F109" s="346"/>
      <c r="G109" s="371"/>
      <c r="H109" s="359"/>
      <c r="I109" s="374"/>
      <c r="J109" s="525"/>
      <c r="K109" s="528"/>
      <c r="L109" s="362"/>
      <c r="M109" s="362"/>
      <c r="N109" s="240" t="s">
        <v>367</v>
      </c>
      <c r="O109" s="346"/>
      <c r="P109" s="233">
        <v>8471.0300000000007</v>
      </c>
      <c r="Q109" s="234" t="s">
        <v>368</v>
      </c>
      <c r="R109" s="235"/>
      <c r="S109" s="233"/>
      <c r="T109" s="233"/>
      <c r="U109" s="359"/>
      <c r="V109" s="531"/>
      <c r="W109" s="368"/>
      <c r="X109" s="104">
        <v>180</v>
      </c>
    </row>
    <row r="110" spans="1:24" s="104" customFormat="1" x14ac:dyDescent="0.25">
      <c r="A110" s="344"/>
      <c r="B110" s="363"/>
      <c r="C110" s="363"/>
      <c r="D110" s="363"/>
      <c r="E110" s="363"/>
      <c r="F110" s="347"/>
      <c r="G110" s="372"/>
      <c r="H110" s="360"/>
      <c r="I110" s="375"/>
      <c r="J110" s="526"/>
      <c r="K110" s="529"/>
      <c r="L110" s="363"/>
      <c r="M110" s="363"/>
      <c r="N110" s="241" t="s">
        <v>367</v>
      </c>
      <c r="O110" s="347"/>
      <c r="P110" s="236">
        <v>10353.370000000001</v>
      </c>
      <c r="Q110" s="237" t="s">
        <v>368</v>
      </c>
      <c r="R110" s="238"/>
      <c r="S110" s="236"/>
      <c r="T110" s="236"/>
      <c r="U110" s="360"/>
      <c r="V110" s="532"/>
      <c r="W110" s="369"/>
      <c r="X110" s="104">
        <v>180</v>
      </c>
    </row>
    <row r="111" spans="1:24" x14ac:dyDescent="0.25">
      <c r="X111" s="2">
        <v>182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275">
    <mergeCell ref="O95:O110"/>
    <mergeCell ref="U95:U110"/>
    <mergeCell ref="B95:B110"/>
    <mergeCell ref="V95:V110"/>
    <mergeCell ref="C95:C110"/>
    <mergeCell ref="W95:W110"/>
    <mergeCell ref="D95:D110"/>
    <mergeCell ref="E95:E110"/>
    <mergeCell ref="O93:O94"/>
    <mergeCell ref="U93:U94"/>
    <mergeCell ref="B93:B94"/>
    <mergeCell ref="V93:V94"/>
    <mergeCell ref="C93:C94"/>
    <mergeCell ref="W93:W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A93:A94"/>
    <mergeCell ref="A95:A110"/>
    <mergeCell ref="F95:F110"/>
    <mergeCell ref="G95:G110"/>
    <mergeCell ref="H95:H110"/>
    <mergeCell ref="I95:I110"/>
    <mergeCell ref="J95:J110"/>
    <mergeCell ref="K95:K110"/>
    <mergeCell ref="L95:L110"/>
    <mergeCell ref="M95:M110"/>
    <mergeCell ref="K21:K24"/>
    <mergeCell ref="L21:L24"/>
    <mergeCell ref="M21:M24"/>
    <mergeCell ref="A90:A91"/>
    <mergeCell ref="O90:O91"/>
    <mergeCell ref="U90:U91"/>
    <mergeCell ref="B90:B91"/>
    <mergeCell ref="V90:V91"/>
    <mergeCell ref="C90:C91"/>
    <mergeCell ref="J30:J33"/>
    <mergeCell ref="K30:K33"/>
    <mergeCell ref="L30:L33"/>
    <mergeCell ref="M30:M33"/>
    <mergeCell ref="A34:A37"/>
    <mergeCell ref="O34:O37"/>
    <mergeCell ref="U34:U37"/>
    <mergeCell ref="B34:B37"/>
    <mergeCell ref="V34:V37"/>
    <mergeCell ref="C34:C37"/>
    <mergeCell ref="D34:D37"/>
    <mergeCell ref="E34:E37"/>
    <mergeCell ref="F34:F37"/>
    <mergeCell ref="G34:G37"/>
    <mergeCell ref="I42:I45"/>
    <mergeCell ref="J42:J45"/>
    <mergeCell ref="K42:K45"/>
    <mergeCell ref="L42:L45"/>
    <mergeCell ref="A46:A49"/>
    <mergeCell ref="O46:O49"/>
    <mergeCell ref="W90:W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U25:U28"/>
    <mergeCell ref="B25:B28"/>
    <mergeCell ref="V25:V28"/>
    <mergeCell ref="C25:C28"/>
    <mergeCell ref="W25:W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O25:O28"/>
    <mergeCell ref="U30:U33"/>
    <mergeCell ref="B30:B33"/>
    <mergeCell ref="V30:V33"/>
    <mergeCell ref="C30:C33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2:M45"/>
    <mergeCell ref="O38:O41"/>
    <mergeCell ref="U38:U41"/>
    <mergeCell ref="B38:B41"/>
    <mergeCell ref="V38:V41"/>
    <mergeCell ref="C38:C41"/>
    <mergeCell ref="D42:D45"/>
    <mergeCell ref="E42:E45"/>
    <mergeCell ref="F42:F45"/>
    <mergeCell ref="G42:G45"/>
    <mergeCell ref="H42:H45"/>
    <mergeCell ref="U21:U24"/>
    <mergeCell ref="B21:B24"/>
    <mergeCell ref="V21:V24"/>
    <mergeCell ref="C21:C24"/>
    <mergeCell ref="W21:W24"/>
    <mergeCell ref="D21:D24"/>
    <mergeCell ref="E21:E24"/>
    <mergeCell ref="F21:F24"/>
    <mergeCell ref="G21:G24"/>
    <mergeCell ref="H21:H24"/>
    <mergeCell ref="I21:I24"/>
    <mergeCell ref="J21:J24"/>
    <mergeCell ref="U46:U49"/>
    <mergeCell ref="B46:B49"/>
    <mergeCell ref="V46:V49"/>
    <mergeCell ref="C46:C49"/>
    <mergeCell ref="W46:W49"/>
    <mergeCell ref="W34:W37"/>
    <mergeCell ref="A42:A45"/>
    <mergeCell ref="O42:O45"/>
    <mergeCell ref="U42:U45"/>
    <mergeCell ref="B42:B45"/>
    <mergeCell ref="V42:V45"/>
    <mergeCell ref="C42:C45"/>
    <mergeCell ref="W42:W45"/>
    <mergeCell ref="W38:W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W30:W33"/>
    <mergeCell ref="D30:D33"/>
    <mergeCell ref="E30:E33"/>
    <mergeCell ref="F30:F33"/>
    <mergeCell ref="G30:G33"/>
    <mergeCell ref="H30:H33"/>
    <mergeCell ref="I30:I33"/>
    <mergeCell ref="W83:W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M83:M84"/>
    <mergeCell ref="W77:W79"/>
    <mergeCell ref="W80:W81"/>
    <mergeCell ref="W53:W76"/>
    <mergeCell ref="M53:M76"/>
    <mergeCell ref="D53:D76"/>
    <mergeCell ref="E53:E76"/>
    <mergeCell ref="A83:A84"/>
    <mergeCell ref="O83:O84"/>
    <mergeCell ref="U83:U84"/>
    <mergeCell ref="B83:B84"/>
    <mergeCell ref="V83:V84"/>
    <mergeCell ref="C83:C84"/>
    <mergeCell ref="A77:A79"/>
    <mergeCell ref="O77:O79"/>
    <mergeCell ref="U77:U79"/>
    <mergeCell ref="B77:B79"/>
    <mergeCell ref="V77:V79"/>
    <mergeCell ref="C77:C79"/>
    <mergeCell ref="D77:D79"/>
    <mergeCell ref="E77:E79"/>
    <mergeCell ref="F77:F79"/>
    <mergeCell ref="G77:G79"/>
    <mergeCell ref="H77:H79"/>
    <mergeCell ref="I77:I79"/>
    <mergeCell ref="J77:J79"/>
    <mergeCell ref="K77:K79"/>
    <mergeCell ref="L77:L79"/>
    <mergeCell ref="M80:M81"/>
    <mergeCell ref="M77:M79"/>
    <mergeCell ref="S2:U2"/>
    <mergeCell ref="F2:G2"/>
    <mergeCell ref="N2:O2"/>
    <mergeCell ref="A80:A81"/>
    <mergeCell ref="O80:O81"/>
    <mergeCell ref="U80:U81"/>
    <mergeCell ref="B80:B81"/>
    <mergeCell ref="V80:V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A53:A76"/>
    <mergeCell ref="O53:O76"/>
    <mergeCell ref="U53:U76"/>
    <mergeCell ref="B53:B76"/>
    <mergeCell ref="V53:V76"/>
    <mergeCell ref="C53:C76"/>
    <mergeCell ref="U50:U52"/>
    <mergeCell ref="B50:B52"/>
    <mergeCell ref="V50:V52"/>
    <mergeCell ref="C50:C52"/>
    <mergeCell ref="W50:W52"/>
    <mergeCell ref="D50:D52"/>
    <mergeCell ref="E50:E52"/>
    <mergeCell ref="F50:F52"/>
    <mergeCell ref="G50:G52"/>
    <mergeCell ref="H50:H52"/>
    <mergeCell ref="I50:I52"/>
    <mergeCell ref="J50:J52"/>
    <mergeCell ref="K50:K52"/>
    <mergeCell ref="L50:L52"/>
    <mergeCell ref="M50:M52"/>
    <mergeCell ref="F53:F76"/>
    <mergeCell ref="G53:G76"/>
    <mergeCell ref="H53:H76"/>
    <mergeCell ref="I53:I76"/>
    <mergeCell ref="J53:J76"/>
    <mergeCell ref="K53:K76"/>
    <mergeCell ref="L53:L76"/>
    <mergeCell ref="A9:A20"/>
    <mergeCell ref="O9:O20"/>
    <mergeCell ref="A50:A52"/>
    <mergeCell ref="O50:O52"/>
    <mergeCell ref="A21:A24"/>
    <mergeCell ref="O21:O24"/>
    <mergeCell ref="H34:H37"/>
    <mergeCell ref="I34:I37"/>
    <mergeCell ref="J34:J37"/>
    <mergeCell ref="K34:K37"/>
    <mergeCell ref="L34:L37"/>
    <mergeCell ref="M34:M37"/>
    <mergeCell ref="M46:M49"/>
    <mergeCell ref="A25:A28"/>
    <mergeCell ref="A30:A33"/>
    <mergeCell ref="O30:O33"/>
    <mergeCell ref="A38:A41"/>
    <mergeCell ref="U9:U20"/>
    <mergeCell ref="B9:B20"/>
    <mergeCell ref="V9:V20"/>
    <mergeCell ref="C9:C20"/>
    <mergeCell ref="W9:W20"/>
    <mergeCell ref="D9:D20"/>
    <mergeCell ref="E9:E20"/>
    <mergeCell ref="F9:F20"/>
    <mergeCell ref="G9:G20"/>
    <mergeCell ref="H9:H20"/>
    <mergeCell ref="I9:I20"/>
    <mergeCell ref="J9:J20"/>
    <mergeCell ref="K9:K20"/>
    <mergeCell ref="L9:L20"/>
    <mergeCell ref="M9:M2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4"/>
  <sheetViews>
    <sheetView showGridLines="0" view="pageBreakPreview" topLeftCell="E1" zoomScale="60" zoomScaleNormal="50" workbookViewId="0">
      <pane ySplit="8" topLeftCell="A9" activePane="bottomLeft" state="frozen"/>
      <selection pane="bottomLeft" activeCell="H9" sqref="H9:H12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436" t="s">
        <v>24</v>
      </c>
      <c r="F2" s="437"/>
      <c r="G2" s="80">
        <f>SUM(G9:G9999)</f>
        <v>2338410.3200000003</v>
      </c>
      <c r="L2" s="533" t="s">
        <v>137</v>
      </c>
      <c r="M2" s="534"/>
      <c r="N2" s="69">
        <f>SUM(N9:N9999)</f>
        <v>1848234.0300000003</v>
      </c>
      <c r="P2" s="68"/>
      <c r="Q2" s="331" t="s">
        <v>45</v>
      </c>
      <c r="R2" s="332"/>
      <c r="S2" s="333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535">
        <v>1</v>
      </c>
      <c r="B9" s="538"/>
      <c r="C9" s="538"/>
      <c r="D9" s="538" t="s">
        <v>148</v>
      </c>
      <c r="E9" s="550" t="s">
        <v>163</v>
      </c>
      <c r="F9" s="541" t="s">
        <v>149</v>
      </c>
      <c r="G9" s="544">
        <v>1434561.11</v>
      </c>
      <c r="H9" s="553">
        <f>IF(V9 = 6, G9 + SUM(Q9:Q12) - SUM(R9:R12) - SUM(N9:N12) - T9,0)</f>
        <v>284348.1399999999</v>
      </c>
      <c r="I9" s="556">
        <v>2312054894</v>
      </c>
      <c r="J9" s="538" t="s">
        <v>146</v>
      </c>
      <c r="K9" s="538" t="s">
        <v>195</v>
      </c>
      <c r="L9" s="206" t="s">
        <v>222</v>
      </c>
      <c r="M9" s="538" t="s">
        <v>151</v>
      </c>
      <c r="N9" s="200">
        <v>368073.78</v>
      </c>
      <c r="O9" s="206" t="s">
        <v>259</v>
      </c>
      <c r="P9" s="201"/>
      <c r="Q9" s="200"/>
      <c r="R9" s="200"/>
      <c r="S9" s="541"/>
      <c r="T9" s="544"/>
      <c r="U9" s="547"/>
      <c r="V9" s="85">
        <v>6</v>
      </c>
    </row>
    <row r="10" spans="1:22" s="104" customFormat="1" x14ac:dyDescent="0.25">
      <c r="A10" s="536"/>
      <c r="B10" s="539"/>
      <c r="C10" s="539"/>
      <c r="D10" s="539"/>
      <c r="E10" s="551"/>
      <c r="F10" s="542"/>
      <c r="G10" s="545"/>
      <c r="H10" s="554"/>
      <c r="I10" s="557"/>
      <c r="J10" s="539"/>
      <c r="K10" s="539"/>
      <c r="L10" s="207" t="s">
        <v>261</v>
      </c>
      <c r="M10" s="539"/>
      <c r="N10" s="202">
        <v>366192.79</v>
      </c>
      <c r="O10" s="207" t="s">
        <v>262</v>
      </c>
      <c r="P10" s="203"/>
      <c r="Q10" s="202"/>
      <c r="R10" s="202"/>
      <c r="S10" s="542"/>
      <c r="T10" s="545"/>
      <c r="U10" s="548"/>
      <c r="V10" s="104">
        <v>6</v>
      </c>
    </row>
    <row r="11" spans="1:22" s="104" customFormat="1" x14ac:dyDescent="0.25">
      <c r="A11" s="536"/>
      <c r="B11" s="539"/>
      <c r="C11" s="539"/>
      <c r="D11" s="539"/>
      <c r="E11" s="551"/>
      <c r="F11" s="542"/>
      <c r="G11" s="545"/>
      <c r="H11" s="554"/>
      <c r="I11" s="557"/>
      <c r="J11" s="539"/>
      <c r="K11" s="539"/>
      <c r="L11" s="207" t="s">
        <v>290</v>
      </c>
      <c r="M11" s="539"/>
      <c r="N11" s="202">
        <v>278282.53000000003</v>
      </c>
      <c r="O11" s="207" t="s">
        <v>306</v>
      </c>
      <c r="P11" s="203"/>
      <c r="Q11" s="202"/>
      <c r="R11" s="202"/>
      <c r="S11" s="542"/>
      <c r="T11" s="545"/>
      <c r="U11" s="548"/>
      <c r="V11" s="104">
        <v>6</v>
      </c>
    </row>
    <row r="12" spans="1:22" s="104" customFormat="1" x14ac:dyDescent="0.25">
      <c r="A12" s="537"/>
      <c r="B12" s="540"/>
      <c r="C12" s="540"/>
      <c r="D12" s="540"/>
      <c r="E12" s="552"/>
      <c r="F12" s="543"/>
      <c r="G12" s="546"/>
      <c r="H12" s="555"/>
      <c r="I12" s="558"/>
      <c r="J12" s="540"/>
      <c r="K12" s="540"/>
      <c r="L12" s="208" t="s">
        <v>356</v>
      </c>
      <c r="M12" s="540"/>
      <c r="N12" s="204">
        <v>137663.87</v>
      </c>
      <c r="O12" s="208" t="s">
        <v>362</v>
      </c>
      <c r="P12" s="205"/>
      <c r="Q12" s="204"/>
      <c r="R12" s="204"/>
      <c r="S12" s="543"/>
      <c r="T12" s="546"/>
      <c r="U12" s="549"/>
      <c r="V12" s="104">
        <v>6</v>
      </c>
    </row>
    <row r="13" spans="1:22" s="85" customFormat="1" ht="56.25" x14ac:dyDescent="0.25">
      <c r="A13" s="184">
        <v>2</v>
      </c>
      <c r="B13" s="185"/>
      <c r="C13" s="185"/>
      <c r="D13" s="185" t="s">
        <v>344</v>
      </c>
      <c r="E13" s="190" t="s">
        <v>345</v>
      </c>
      <c r="F13" s="186" t="s">
        <v>346</v>
      </c>
      <c r="G13" s="187">
        <v>903849.21</v>
      </c>
      <c r="H13" s="188">
        <f>IF(V13 = 10, G13 + SUM(Q13:Q13) - SUM(R13:R13) - SUM(N13:N13) - T13,0)</f>
        <v>205828.14999999991</v>
      </c>
      <c r="I13" s="189">
        <v>7715995942</v>
      </c>
      <c r="J13" s="185" t="s">
        <v>347</v>
      </c>
      <c r="K13" s="185" t="s">
        <v>348</v>
      </c>
      <c r="L13" s="190" t="s">
        <v>311</v>
      </c>
      <c r="M13" s="185" t="s">
        <v>350</v>
      </c>
      <c r="N13" s="187">
        <v>698021.06</v>
      </c>
      <c r="O13" s="190" t="s">
        <v>349</v>
      </c>
      <c r="P13" s="186"/>
      <c r="Q13" s="187"/>
      <c r="R13" s="187"/>
      <c r="S13" s="186"/>
      <c r="T13" s="187"/>
      <c r="U13" s="183"/>
      <c r="V13" s="85">
        <v>10</v>
      </c>
    </row>
    <row r="14" spans="1:22" x14ac:dyDescent="0.25">
      <c r="V14" s="2">
        <v>11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18"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Q2:S2"/>
    <mergeCell ref="E2:F2"/>
    <mergeCell ref="L2:M2"/>
    <mergeCell ref="A9:A12"/>
    <mergeCell ref="M9:M12"/>
    <mergeCell ref="S9:S12"/>
    <mergeCell ref="B9:B12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I1" zoomScale="50" zoomScaleNormal="50" workbookViewId="0">
      <pane ySplit="8" topLeftCell="A9" activePane="bottomLeft" state="frozen"/>
      <selection pane="bottomLeft" activeCell="P9" sqref="P9:P12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36" t="s">
        <v>139</v>
      </c>
      <c r="F2" s="437"/>
      <c r="G2" s="82">
        <f>SUM(G9:G9999)</f>
        <v>740880</v>
      </c>
      <c r="O2" s="436" t="s">
        <v>24</v>
      </c>
      <c r="P2" s="437"/>
      <c r="Q2" s="80">
        <f>SUM(Q9:Q9999)</f>
        <v>674200.8</v>
      </c>
      <c r="T2" s="331" t="s">
        <v>137</v>
      </c>
      <c r="U2" s="333"/>
      <c r="V2" s="69">
        <f>SUM(V9:V9999)</f>
        <v>550368</v>
      </c>
      <c r="X2" s="68"/>
      <c r="Y2" s="331" t="s">
        <v>45</v>
      </c>
      <c r="Z2" s="332"/>
      <c r="AA2" s="333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customHeight="1" x14ac:dyDescent="0.25">
      <c r="A9" s="571">
        <v>1</v>
      </c>
      <c r="B9" s="562"/>
      <c r="C9" s="562" t="s">
        <v>201</v>
      </c>
      <c r="D9" s="562" t="s">
        <v>205</v>
      </c>
      <c r="E9" s="562" t="s">
        <v>197</v>
      </c>
      <c r="F9" s="562" t="s">
        <v>198</v>
      </c>
      <c r="G9" s="559">
        <v>740880</v>
      </c>
      <c r="H9" s="565">
        <f>IF(AD9 = 1, G9 - Q9,0)</f>
        <v>66679.199999999953</v>
      </c>
      <c r="I9" s="559">
        <v>2</v>
      </c>
      <c r="J9" s="559">
        <v>0</v>
      </c>
      <c r="K9" s="562" t="s">
        <v>200</v>
      </c>
      <c r="L9" s="562" t="s">
        <v>204</v>
      </c>
      <c r="M9" s="562" t="s">
        <v>199</v>
      </c>
      <c r="N9" s="568">
        <v>45649</v>
      </c>
      <c r="O9" s="562" t="s">
        <v>156</v>
      </c>
      <c r="P9" s="562" t="s">
        <v>157</v>
      </c>
      <c r="Q9" s="559">
        <v>674200.8</v>
      </c>
      <c r="R9" s="565">
        <f>IF(AD9 = 1, Q9 + SUM(Y9:Y12) - SUM(Z9:Z12) - SUM(V9:V12) - AB9,0)</f>
        <v>123832.80000000005</v>
      </c>
      <c r="S9" s="562" t="s">
        <v>196</v>
      </c>
      <c r="T9" s="197" t="s">
        <v>210</v>
      </c>
      <c r="U9" s="574" t="s">
        <v>158</v>
      </c>
      <c r="V9" s="191">
        <v>142178.4</v>
      </c>
      <c r="W9" s="197" t="s">
        <v>292</v>
      </c>
      <c r="X9" s="192"/>
      <c r="Y9" s="191"/>
      <c r="Z9" s="191"/>
      <c r="AA9" s="574"/>
      <c r="AB9" s="559"/>
      <c r="AC9" s="562"/>
      <c r="AD9" s="85">
        <v>1</v>
      </c>
    </row>
    <row r="10" spans="1:30" s="104" customFormat="1" x14ac:dyDescent="0.25">
      <c r="A10" s="572"/>
      <c r="B10" s="563"/>
      <c r="C10" s="563"/>
      <c r="D10" s="563"/>
      <c r="E10" s="563"/>
      <c r="F10" s="563"/>
      <c r="G10" s="560"/>
      <c r="H10" s="566"/>
      <c r="I10" s="560"/>
      <c r="J10" s="560"/>
      <c r="K10" s="563"/>
      <c r="L10" s="563"/>
      <c r="M10" s="563"/>
      <c r="N10" s="569"/>
      <c r="O10" s="563"/>
      <c r="P10" s="563"/>
      <c r="Q10" s="560"/>
      <c r="R10" s="566"/>
      <c r="S10" s="563"/>
      <c r="T10" s="198" t="s">
        <v>291</v>
      </c>
      <c r="U10" s="575"/>
      <c r="V10" s="193">
        <v>128419.2</v>
      </c>
      <c r="W10" s="198" t="s">
        <v>262</v>
      </c>
      <c r="X10" s="194"/>
      <c r="Y10" s="193"/>
      <c r="Z10" s="193"/>
      <c r="AA10" s="575"/>
      <c r="AB10" s="560"/>
      <c r="AC10" s="563"/>
      <c r="AD10" s="104">
        <v>1</v>
      </c>
    </row>
    <row r="11" spans="1:30" s="104" customFormat="1" x14ac:dyDescent="0.25">
      <c r="A11" s="572"/>
      <c r="B11" s="563"/>
      <c r="C11" s="563"/>
      <c r="D11" s="563"/>
      <c r="E11" s="563"/>
      <c r="F11" s="563"/>
      <c r="G11" s="560"/>
      <c r="H11" s="566"/>
      <c r="I11" s="560"/>
      <c r="J11" s="560"/>
      <c r="K11" s="563"/>
      <c r="L11" s="563"/>
      <c r="M11" s="563"/>
      <c r="N11" s="569"/>
      <c r="O11" s="563"/>
      <c r="P11" s="563"/>
      <c r="Q11" s="560"/>
      <c r="R11" s="566"/>
      <c r="S11" s="563"/>
      <c r="T11" s="198" t="s">
        <v>351</v>
      </c>
      <c r="U11" s="575"/>
      <c r="V11" s="193">
        <v>142178.4</v>
      </c>
      <c r="W11" s="198" t="s">
        <v>311</v>
      </c>
      <c r="X11" s="194"/>
      <c r="Y11" s="193"/>
      <c r="Z11" s="193"/>
      <c r="AA11" s="575"/>
      <c r="AB11" s="560"/>
      <c r="AC11" s="563"/>
      <c r="AD11" s="104">
        <v>1</v>
      </c>
    </row>
    <row r="12" spans="1:30" s="104" customFormat="1" x14ac:dyDescent="0.25">
      <c r="A12" s="573"/>
      <c r="B12" s="564"/>
      <c r="C12" s="564"/>
      <c r="D12" s="564"/>
      <c r="E12" s="564"/>
      <c r="F12" s="564"/>
      <c r="G12" s="561"/>
      <c r="H12" s="567"/>
      <c r="I12" s="561"/>
      <c r="J12" s="561"/>
      <c r="K12" s="564"/>
      <c r="L12" s="564"/>
      <c r="M12" s="564"/>
      <c r="N12" s="570"/>
      <c r="O12" s="564"/>
      <c r="P12" s="564"/>
      <c r="Q12" s="561"/>
      <c r="R12" s="567"/>
      <c r="S12" s="564"/>
      <c r="T12" s="199" t="s">
        <v>352</v>
      </c>
      <c r="U12" s="576"/>
      <c r="V12" s="195">
        <v>137592</v>
      </c>
      <c r="W12" s="199" t="s">
        <v>353</v>
      </c>
      <c r="X12" s="196"/>
      <c r="Y12" s="195"/>
      <c r="Z12" s="195"/>
      <c r="AA12" s="576"/>
      <c r="AB12" s="561"/>
      <c r="AC12" s="564"/>
      <c r="AD12" s="104">
        <v>1</v>
      </c>
    </row>
    <row r="13" spans="1:30" x14ac:dyDescent="0.25">
      <c r="A13" s="97"/>
      <c r="B13" s="98"/>
      <c r="C13" s="98"/>
      <c r="D13" s="98"/>
      <c r="E13" s="98"/>
      <c r="F13" s="98"/>
      <c r="G13" s="101"/>
      <c r="H13" s="102">
        <f>IF(AD13 = 3, G13 - Q13,0)</f>
        <v>0</v>
      </c>
      <c r="I13" s="101"/>
      <c r="J13" s="101"/>
      <c r="K13" s="98"/>
      <c r="L13" s="98"/>
      <c r="M13" s="98"/>
      <c r="N13" s="100"/>
      <c r="O13" s="98"/>
      <c r="P13" s="98"/>
      <c r="Q13" s="101"/>
      <c r="R13" s="102">
        <f>IF(AD13 = 3, Q13 + SUM(Y13:Y13) - SUM(Z13:Z13) - SUM(V13:V13) - AB13,0)</f>
        <v>0</v>
      </c>
      <c r="S13" s="98"/>
      <c r="T13" s="100"/>
      <c r="U13" s="99"/>
      <c r="V13" s="101"/>
      <c r="W13" s="100"/>
      <c r="X13" s="98"/>
      <c r="Y13" s="101"/>
      <c r="Z13" s="101"/>
      <c r="AA13" s="99"/>
      <c r="AB13" s="101"/>
      <c r="AC13" s="98"/>
      <c r="AD13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27">
    <mergeCell ref="E2:F2"/>
    <mergeCell ref="O2:P2"/>
    <mergeCell ref="Y2:AA2"/>
    <mergeCell ref="T2:U2"/>
    <mergeCell ref="A9:A12"/>
    <mergeCell ref="U9:U12"/>
    <mergeCell ref="AA9:AA12"/>
    <mergeCell ref="B9:B12"/>
    <mergeCell ref="Q9:Q12"/>
    <mergeCell ref="R9:R12"/>
    <mergeCell ref="S9:S12"/>
    <mergeCell ref="AB9:AB12"/>
    <mergeCell ref="C9:C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42"/>
  <sheetViews>
    <sheetView showGridLines="0" topLeftCell="J1" zoomScale="50" zoomScaleNormal="50" workbookViewId="0">
      <pane ySplit="8" topLeftCell="A27" activePane="bottomLeft" state="frozen"/>
      <selection pane="bottomLeft" activeCell="X37" sqref="X37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36" t="s">
        <v>139</v>
      </c>
      <c r="F2" s="437"/>
      <c r="G2" s="82">
        <f>SUM(G9:G10017)</f>
        <v>1539365.26</v>
      </c>
      <c r="H2" s="10"/>
      <c r="O2" s="436" t="s">
        <v>24</v>
      </c>
      <c r="P2" s="437"/>
      <c r="Q2" s="80">
        <f>SUM(Q9:Q10017)</f>
        <v>1539365.26</v>
      </c>
      <c r="T2" s="331" t="s">
        <v>137</v>
      </c>
      <c r="U2" s="333"/>
      <c r="V2" s="69">
        <f>SUM(V9:V10017)</f>
        <v>1350756.5499999998</v>
      </c>
      <c r="X2" s="68"/>
      <c r="Y2" s="331" t="s">
        <v>45</v>
      </c>
      <c r="Z2" s="332"/>
      <c r="AA2" s="333"/>
      <c r="AB2" s="70">
        <f>SUM(AB9:AB10017)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0" customHeight="1" x14ac:dyDescent="0.25">
      <c r="A9" s="592">
        <v>1</v>
      </c>
      <c r="B9" s="577"/>
      <c r="C9" s="577" t="s">
        <v>201</v>
      </c>
      <c r="D9" s="577" t="s">
        <v>205</v>
      </c>
      <c r="E9" s="577" t="s">
        <v>203</v>
      </c>
      <c r="F9" s="577" t="s">
        <v>202</v>
      </c>
      <c r="G9" s="580">
        <v>1539365.26</v>
      </c>
      <c r="H9" s="586">
        <f>IF(AD9 = 1, G9 - Q9,0)</f>
        <v>0</v>
      </c>
      <c r="I9" s="580">
        <v>1</v>
      </c>
      <c r="J9" s="580"/>
      <c r="K9" s="577" t="s">
        <v>200</v>
      </c>
      <c r="L9" s="577" t="s">
        <v>204</v>
      </c>
      <c r="M9" s="577" t="s">
        <v>206</v>
      </c>
      <c r="N9" s="589">
        <v>45642</v>
      </c>
      <c r="O9" s="577" t="s">
        <v>207</v>
      </c>
      <c r="P9" s="577" t="s">
        <v>208</v>
      </c>
      <c r="Q9" s="580">
        <v>1539365.26</v>
      </c>
      <c r="R9" s="586">
        <f>IF(AD9 = 1, Q9 + SUM(Y9:Y41) - SUM(Z9:Z41) - SUM(V9:V41) - AB9,0)</f>
        <v>188608.7100000002</v>
      </c>
      <c r="S9" s="577"/>
      <c r="T9" s="262" t="s">
        <v>255</v>
      </c>
      <c r="U9" s="577" t="s">
        <v>209</v>
      </c>
      <c r="V9" s="256">
        <v>28490</v>
      </c>
      <c r="W9" s="262" t="s">
        <v>237</v>
      </c>
      <c r="X9" s="257"/>
      <c r="Y9" s="256"/>
      <c r="Z9" s="256"/>
      <c r="AA9" s="577"/>
      <c r="AB9" s="580"/>
      <c r="AC9" s="583"/>
      <c r="AD9" s="85">
        <v>1</v>
      </c>
    </row>
    <row r="10" spans="1:30" s="104" customFormat="1" x14ac:dyDescent="0.25">
      <c r="A10" s="593"/>
      <c r="B10" s="578"/>
      <c r="C10" s="578"/>
      <c r="D10" s="578"/>
      <c r="E10" s="578"/>
      <c r="F10" s="578"/>
      <c r="G10" s="581"/>
      <c r="H10" s="587"/>
      <c r="I10" s="581"/>
      <c r="J10" s="581"/>
      <c r="K10" s="578"/>
      <c r="L10" s="578"/>
      <c r="M10" s="578"/>
      <c r="N10" s="590"/>
      <c r="O10" s="578"/>
      <c r="P10" s="578"/>
      <c r="Q10" s="581"/>
      <c r="R10" s="587"/>
      <c r="S10" s="578"/>
      <c r="T10" s="263" t="s">
        <v>256</v>
      </c>
      <c r="U10" s="578"/>
      <c r="V10" s="258">
        <v>39375</v>
      </c>
      <c r="W10" s="263" t="s">
        <v>237</v>
      </c>
      <c r="X10" s="259"/>
      <c r="Y10" s="258"/>
      <c r="Z10" s="258"/>
      <c r="AA10" s="578"/>
      <c r="AB10" s="581"/>
      <c r="AC10" s="584"/>
      <c r="AD10" s="104">
        <v>1</v>
      </c>
    </row>
    <row r="11" spans="1:30" s="104" customFormat="1" x14ac:dyDescent="0.25">
      <c r="A11" s="593"/>
      <c r="B11" s="578"/>
      <c r="C11" s="578"/>
      <c r="D11" s="578"/>
      <c r="E11" s="578"/>
      <c r="F11" s="578"/>
      <c r="G11" s="581"/>
      <c r="H11" s="587"/>
      <c r="I11" s="581"/>
      <c r="J11" s="581"/>
      <c r="K11" s="578"/>
      <c r="L11" s="578"/>
      <c r="M11" s="578"/>
      <c r="N11" s="590"/>
      <c r="O11" s="578"/>
      <c r="P11" s="578"/>
      <c r="Q11" s="581"/>
      <c r="R11" s="587"/>
      <c r="S11" s="578"/>
      <c r="T11" s="263" t="s">
        <v>256</v>
      </c>
      <c r="U11" s="578"/>
      <c r="V11" s="258">
        <v>122320.95</v>
      </c>
      <c r="W11" s="263" t="s">
        <v>250</v>
      </c>
      <c r="X11" s="259"/>
      <c r="Y11" s="258"/>
      <c r="Z11" s="258"/>
      <c r="AA11" s="578"/>
      <c r="AB11" s="581"/>
      <c r="AC11" s="584"/>
      <c r="AD11" s="104">
        <v>1</v>
      </c>
    </row>
    <row r="12" spans="1:30" s="104" customFormat="1" x14ac:dyDescent="0.25">
      <c r="A12" s="593"/>
      <c r="B12" s="578"/>
      <c r="C12" s="578"/>
      <c r="D12" s="578"/>
      <c r="E12" s="578"/>
      <c r="F12" s="578"/>
      <c r="G12" s="581"/>
      <c r="H12" s="587"/>
      <c r="I12" s="581"/>
      <c r="J12" s="581"/>
      <c r="K12" s="578"/>
      <c r="L12" s="578"/>
      <c r="M12" s="578"/>
      <c r="N12" s="590"/>
      <c r="O12" s="578"/>
      <c r="P12" s="578"/>
      <c r="Q12" s="581"/>
      <c r="R12" s="587"/>
      <c r="S12" s="578"/>
      <c r="T12" s="263" t="s">
        <v>256</v>
      </c>
      <c r="U12" s="578"/>
      <c r="V12" s="258">
        <v>7807.8</v>
      </c>
      <c r="W12" s="263" t="s">
        <v>250</v>
      </c>
      <c r="X12" s="259"/>
      <c r="Y12" s="258"/>
      <c r="Z12" s="258"/>
      <c r="AA12" s="578"/>
      <c r="AB12" s="581"/>
      <c r="AC12" s="584"/>
      <c r="AD12" s="104">
        <v>1</v>
      </c>
    </row>
    <row r="13" spans="1:30" s="104" customFormat="1" x14ac:dyDescent="0.25">
      <c r="A13" s="593"/>
      <c r="B13" s="578"/>
      <c r="C13" s="578"/>
      <c r="D13" s="578"/>
      <c r="E13" s="578"/>
      <c r="F13" s="578"/>
      <c r="G13" s="581"/>
      <c r="H13" s="587"/>
      <c r="I13" s="581"/>
      <c r="J13" s="581"/>
      <c r="K13" s="578"/>
      <c r="L13" s="578"/>
      <c r="M13" s="578"/>
      <c r="N13" s="590"/>
      <c r="O13" s="578"/>
      <c r="P13" s="578"/>
      <c r="Q13" s="581"/>
      <c r="R13" s="587"/>
      <c r="S13" s="578"/>
      <c r="T13" s="263" t="s">
        <v>255</v>
      </c>
      <c r="U13" s="578"/>
      <c r="V13" s="258">
        <v>88506</v>
      </c>
      <c r="W13" s="263" t="s">
        <v>250</v>
      </c>
      <c r="X13" s="259"/>
      <c r="Y13" s="258"/>
      <c r="Z13" s="258"/>
      <c r="AA13" s="578"/>
      <c r="AB13" s="581"/>
      <c r="AC13" s="584"/>
      <c r="AD13" s="104">
        <v>1</v>
      </c>
    </row>
    <row r="14" spans="1:30" s="104" customFormat="1" x14ac:dyDescent="0.25">
      <c r="A14" s="593"/>
      <c r="B14" s="578"/>
      <c r="C14" s="578"/>
      <c r="D14" s="578"/>
      <c r="E14" s="578"/>
      <c r="F14" s="578"/>
      <c r="G14" s="581"/>
      <c r="H14" s="587"/>
      <c r="I14" s="581"/>
      <c r="J14" s="581"/>
      <c r="K14" s="578"/>
      <c r="L14" s="578"/>
      <c r="M14" s="578"/>
      <c r="N14" s="590"/>
      <c r="O14" s="578"/>
      <c r="P14" s="578"/>
      <c r="Q14" s="581"/>
      <c r="R14" s="587"/>
      <c r="S14" s="578"/>
      <c r="T14" s="263" t="s">
        <v>255</v>
      </c>
      <c r="U14" s="578"/>
      <c r="V14" s="258">
        <v>5649.38</v>
      </c>
      <c r="W14" s="263" t="s">
        <v>250</v>
      </c>
      <c r="X14" s="259"/>
      <c r="Y14" s="258"/>
      <c r="Z14" s="258"/>
      <c r="AA14" s="578"/>
      <c r="AB14" s="581"/>
      <c r="AC14" s="584"/>
      <c r="AD14" s="104">
        <v>1</v>
      </c>
    </row>
    <row r="15" spans="1:30" s="104" customFormat="1" x14ac:dyDescent="0.25">
      <c r="A15" s="593"/>
      <c r="B15" s="578"/>
      <c r="C15" s="578"/>
      <c r="D15" s="578"/>
      <c r="E15" s="578"/>
      <c r="F15" s="578"/>
      <c r="G15" s="581"/>
      <c r="H15" s="587"/>
      <c r="I15" s="581"/>
      <c r="J15" s="581"/>
      <c r="K15" s="578"/>
      <c r="L15" s="578"/>
      <c r="M15" s="578"/>
      <c r="N15" s="590"/>
      <c r="O15" s="578"/>
      <c r="P15" s="578"/>
      <c r="Q15" s="581"/>
      <c r="R15" s="587"/>
      <c r="S15" s="578"/>
      <c r="T15" s="263" t="s">
        <v>257</v>
      </c>
      <c r="U15" s="578"/>
      <c r="V15" s="258">
        <v>7065.19</v>
      </c>
      <c r="W15" s="263" t="s">
        <v>247</v>
      </c>
      <c r="X15" s="259"/>
      <c r="Y15" s="258"/>
      <c r="Z15" s="258"/>
      <c r="AA15" s="578"/>
      <c r="AB15" s="581"/>
      <c r="AC15" s="584"/>
      <c r="AD15" s="104">
        <v>1</v>
      </c>
    </row>
    <row r="16" spans="1:30" s="104" customFormat="1" x14ac:dyDescent="0.25">
      <c r="A16" s="593"/>
      <c r="B16" s="578"/>
      <c r="C16" s="578"/>
      <c r="D16" s="578"/>
      <c r="E16" s="578"/>
      <c r="F16" s="578"/>
      <c r="G16" s="581"/>
      <c r="H16" s="587"/>
      <c r="I16" s="581"/>
      <c r="J16" s="581"/>
      <c r="K16" s="578"/>
      <c r="L16" s="578"/>
      <c r="M16" s="578"/>
      <c r="N16" s="590"/>
      <c r="O16" s="578"/>
      <c r="P16" s="578"/>
      <c r="Q16" s="581"/>
      <c r="R16" s="587"/>
      <c r="S16" s="578"/>
      <c r="T16" s="263" t="s">
        <v>257</v>
      </c>
      <c r="U16" s="578"/>
      <c r="V16" s="258">
        <v>110686.87</v>
      </c>
      <c r="W16" s="263" t="s">
        <v>247</v>
      </c>
      <c r="X16" s="259"/>
      <c r="Y16" s="258"/>
      <c r="Z16" s="258"/>
      <c r="AA16" s="578"/>
      <c r="AB16" s="581"/>
      <c r="AC16" s="584"/>
      <c r="AD16" s="104">
        <v>1</v>
      </c>
    </row>
    <row r="17" spans="1:30" s="104" customFormat="1" x14ac:dyDescent="0.25">
      <c r="A17" s="593"/>
      <c r="B17" s="578"/>
      <c r="C17" s="578"/>
      <c r="D17" s="578"/>
      <c r="E17" s="578"/>
      <c r="F17" s="578"/>
      <c r="G17" s="581"/>
      <c r="H17" s="587"/>
      <c r="I17" s="581"/>
      <c r="J17" s="581"/>
      <c r="K17" s="578"/>
      <c r="L17" s="578"/>
      <c r="M17" s="578"/>
      <c r="N17" s="590"/>
      <c r="O17" s="578"/>
      <c r="P17" s="578"/>
      <c r="Q17" s="581"/>
      <c r="R17" s="587"/>
      <c r="S17" s="578"/>
      <c r="T17" s="263" t="s">
        <v>257</v>
      </c>
      <c r="U17" s="578"/>
      <c r="V17" s="258">
        <v>35630</v>
      </c>
      <c r="W17" s="263" t="s">
        <v>247</v>
      </c>
      <c r="X17" s="259"/>
      <c r="Y17" s="258"/>
      <c r="Z17" s="258"/>
      <c r="AA17" s="578"/>
      <c r="AB17" s="581"/>
      <c r="AC17" s="584"/>
      <c r="AD17" s="104">
        <v>1</v>
      </c>
    </row>
    <row r="18" spans="1:30" s="104" customFormat="1" x14ac:dyDescent="0.25">
      <c r="A18" s="593"/>
      <c r="B18" s="578"/>
      <c r="C18" s="578"/>
      <c r="D18" s="578"/>
      <c r="E18" s="578"/>
      <c r="F18" s="578"/>
      <c r="G18" s="581"/>
      <c r="H18" s="587"/>
      <c r="I18" s="581"/>
      <c r="J18" s="581"/>
      <c r="K18" s="578"/>
      <c r="L18" s="578"/>
      <c r="M18" s="578"/>
      <c r="N18" s="590"/>
      <c r="O18" s="578"/>
      <c r="P18" s="578"/>
      <c r="Q18" s="581"/>
      <c r="R18" s="587"/>
      <c r="S18" s="578"/>
      <c r="T18" s="263" t="s">
        <v>288</v>
      </c>
      <c r="U18" s="578"/>
      <c r="V18" s="258">
        <v>4608.34</v>
      </c>
      <c r="W18" s="263" t="s">
        <v>263</v>
      </c>
      <c r="X18" s="259"/>
      <c r="Y18" s="258"/>
      <c r="Z18" s="258"/>
      <c r="AA18" s="578"/>
      <c r="AB18" s="581"/>
      <c r="AC18" s="584"/>
      <c r="AD18" s="104">
        <v>1</v>
      </c>
    </row>
    <row r="19" spans="1:30" s="104" customFormat="1" x14ac:dyDescent="0.25">
      <c r="A19" s="593"/>
      <c r="B19" s="578"/>
      <c r="C19" s="578"/>
      <c r="D19" s="578"/>
      <c r="E19" s="578"/>
      <c r="F19" s="578"/>
      <c r="G19" s="581"/>
      <c r="H19" s="587"/>
      <c r="I19" s="581"/>
      <c r="J19" s="581"/>
      <c r="K19" s="578"/>
      <c r="L19" s="578"/>
      <c r="M19" s="578"/>
      <c r="N19" s="590"/>
      <c r="O19" s="578"/>
      <c r="P19" s="578"/>
      <c r="Q19" s="581"/>
      <c r="R19" s="587"/>
      <c r="S19" s="578"/>
      <c r="T19" s="263" t="s">
        <v>288</v>
      </c>
      <c r="U19" s="578"/>
      <c r="V19" s="258">
        <v>72196.539999999994</v>
      </c>
      <c r="W19" s="263" t="s">
        <v>263</v>
      </c>
      <c r="X19" s="259"/>
      <c r="Y19" s="258"/>
      <c r="Z19" s="258"/>
      <c r="AA19" s="578"/>
      <c r="AB19" s="581"/>
      <c r="AC19" s="584"/>
      <c r="AD19" s="104">
        <v>1</v>
      </c>
    </row>
    <row r="20" spans="1:30" s="104" customFormat="1" x14ac:dyDescent="0.25">
      <c r="A20" s="593"/>
      <c r="B20" s="578"/>
      <c r="C20" s="578"/>
      <c r="D20" s="578"/>
      <c r="E20" s="578"/>
      <c r="F20" s="578"/>
      <c r="G20" s="581"/>
      <c r="H20" s="587"/>
      <c r="I20" s="581"/>
      <c r="J20" s="581"/>
      <c r="K20" s="578"/>
      <c r="L20" s="578"/>
      <c r="M20" s="578"/>
      <c r="N20" s="590"/>
      <c r="O20" s="578"/>
      <c r="P20" s="578"/>
      <c r="Q20" s="581"/>
      <c r="R20" s="587"/>
      <c r="S20" s="578"/>
      <c r="T20" s="263" t="s">
        <v>288</v>
      </c>
      <c r="U20" s="578"/>
      <c r="V20" s="258">
        <v>23240</v>
      </c>
      <c r="W20" s="263" t="s">
        <v>263</v>
      </c>
      <c r="X20" s="259"/>
      <c r="Y20" s="258"/>
      <c r="Z20" s="258"/>
      <c r="AA20" s="578"/>
      <c r="AB20" s="581"/>
      <c r="AC20" s="584"/>
      <c r="AD20" s="104">
        <v>1</v>
      </c>
    </row>
    <row r="21" spans="1:30" s="104" customFormat="1" x14ac:dyDescent="0.25">
      <c r="A21" s="593"/>
      <c r="B21" s="578"/>
      <c r="C21" s="578"/>
      <c r="D21" s="578"/>
      <c r="E21" s="578"/>
      <c r="F21" s="578"/>
      <c r="G21" s="581"/>
      <c r="H21" s="587"/>
      <c r="I21" s="581"/>
      <c r="J21" s="581"/>
      <c r="K21" s="578"/>
      <c r="L21" s="578"/>
      <c r="M21" s="578"/>
      <c r="N21" s="590"/>
      <c r="O21" s="578"/>
      <c r="P21" s="578"/>
      <c r="Q21" s="581"/>
      <c r="R21" s="587"/>
      <c r="S21" s="578"/>
      <c r="T21" s="263" t="s">
        <v>289</v>
      </c>
      <c r="U21" s="578"/>
      <c r="V21" s="258">
        <v>26530</v>
      </c>
      <c r="W21" s="263" t="s">
        <v>290</v>
      </c>
      <c r="X21" s="259"/>
      <c r="Y21" s="258"/>
      <c r="Z21" s="258"/>
      <c r="AA21" s="578"/>
      <c r="AB21" s="581"/>
      <c r="AC21" s="584"/>
      <c r="AD21" s="104">
        <v>1</v>
      </c>
    </row>
    <row r="22" spans="1:30" s="104" customFormat="1" x14ac:dyDescent="0.25">
      <c r="A22" s="593"/>
      <c r="B22" s="578"/>
      <c r="C22" s="578"/>
      <c r="D22" s="578"/>
      <c r="E22" s="578"/>
      <c r="F22" s="578"/>
      <c r="G22" s="581"/>
      <c r="H22" s="587"/>
      <c r="I22" s="581"/>
      <c r="J22" s="581"/>
      <c r="K22" s="578"/>
      <c r="L22" s="578"/>
      <c r="M22" s="578"/>
      <c r="N22" s="590"/>
      <c r="O22" s="578"/>
      <c r="P22" s="578"/>
      <c r="Q22" s="581"/>
      <c r="R22" s="587"/>
      <c r="S22" s="578"/>
      <c r="T22" s="263" t="s">
        <v>289</v>
      </c>
      <c r="U22" s="578"/>
      <c r="V22" s="258">
        <v>82417.14</v>
      </c>
      <c r="W22" s="263" t="s">
        <v>290</v>
      </c>
      <c r="X22" s="259"/>
      <c r="Y22" s="258"/>
      <c r="Z22" s="258"/>
      <c r="AA22" s="578"/>
      <c r="AB22" s="581"/>
      <c r="AC22" s="584"/>
      <c r="AD22" s="104">
        <v>1</v>
      </c>
    </row>
    <row r="23" spans="1:30" s="104" customFormat="1" x14ac:dyDescent="0.25">
      <c r="A23" s="593"/>
      <c r="B23" s="578"/>
      <c r="C23" s="578"/>
      <c r="D23" s="578"/>
      <c r="E23" s="578"/>
      <c r="F23" s="578"/>
      <c r="G23" s="581"/>
      <c r="H23" s="587"/>
      <c r="I23" s="581"/>
      <c r="J23" s="581"/>
      <c r="K23" s="578"/>
      <c r="L23" s="578"/>
      <c r="M23" s="578"/>
      <c r="N23" s="590"/>
      <c r="O23" s="578"/>
      <c r="P23" s="578"/>
      <c r="Q23" s="581"/>
      <c r="R23" s="587"/>
      <c r="S23" s="578"/>
      <c r="T23" s="263" t="s">
        <v>289</v>
      </c>
      <c r="U23" s="578"/>
      <c r="V23" s="258">
        <v>5260.72</v>
      </c>
      <c r="W23" s="263" t="s">
        <v>290</v>
      </c>
      <c r="X23" s="259"/>
      <c r="Y23" s="258"/>
      <c r="Z23" s="258"/>
      <c r="AA23" s="578"/>
      <c r="AB23" s="581"/>
      <c r="AC23" s="584"/>
      <c r="AD23" s="104">
        <v>1</v>
      </c>
    </row>
    <row r="24" spans="1:30" s="104" customFormat="1" x14ac:dyDescent="0.25">
      <c r="A24" s="593"/>
      <c r="B24" s="578"/>
      <c r="C24" s="578"/>
      <c r="D24" s="578"/>
      <c r="E24" s="578"/>
      <c r="F24" s="578"/>
      <c r="G24" s="581"/>
      <c r="H24" s="587"/>
      <c r="I24" s="581"/>
      <c r="J24" s="581"/>
      <c r="K24" s="578"/>
      <c r="L24" s="578"/>
      <c r="M24" s="578"/>
      <c r="N24" s="590"/>
      <c r="O24" s="578"/>
      <c r="P24" s="578"/>
      <c r="Q24" s="581"/>
      <c r="R24" s="587"/>
      <c r="S24" s="578"/>
      <c r="T24" s="263" t="s">
        <v>354</v>
      </c>
      <c r="U24" s="578"/>
      <c r="V24" s="258">
        <v>20895</v>
      </c>
      <c r="W24" s="263" t="s">
        <v>301</v>
      </c>
      <c r="X24" s="259"/>
      <c r="Y24" s="258"/>
      <c r="Z24" s="258"/>
      <c r="AA24" s="578"/>
      <c r="AB24" s="581"/>
      <c r="AC24" s="584"/>
      <c r="AD24" s="104">
        <v>1</v>
      </c>
    </row>
    <row r="25" spans="1:30" s="104" customFormat="1" x14ac:dyDescent="0.25">
      <c r="A25" s="593"/>
      <c r="B25" s="578"/>
      <c r="C25" s="578"/>
      <c r="D25" s="578"/>
      <c r="E25" s="578"/>
      <c r="F25" s="578"/>
      <c r="G25" s="581"/>
      <c r="H25" s="587"/>
      <c r="I25" s="581"/>
      <c r="J25" s="581"/>
      <c r="K25" s="578"/>
      <c r="L25" s="578"/>
      <c r="M25" s="578"/>
      <c r="N25" s="590"/>
      <c r="O25" s="578"/>
      <c r="P25" s="578"/>
      <c r="Q25" s="581"/>
      <c r="R25" s="587"/>
      <c r="S25" s="578"/>
      <c r="T25" s="263" t="s">
        <v>354</v>
      </c>
      <c r="U25" s="578"/>
      <c r="V25" s="258">
        <v>64911.65</v>
      </c>
      <c r="W25" s="263" t="s">
        <v>301</v>
      </c>
      <c r="X25" s="259"/>
      <c r="Y25" s="258"/>
      <c r="Z25" s="258"/>
      <c r="AA25" s="578"/>
      <c r="AB25" s="581"/>
      <c r="AC25" s="584"/>
      <c r="AD25" s="104">
        <v>1</v>
      </c>
    </row>
    <row r="26" spans="1:30" s="104" customFormat="1" x14ac:dyDescent="0.25">
      <c r="A26" s="593"/>
      <c r="B26" s="578"/>
      <c r="C26" s="578"/>
      <c r="D26" s="578"/>
      <c r="E26" s="578"/>
      <c r="F26" s="578"/>
      <c r="G26" s="581"/>
      <c r="H26" s="587"/>
      <c r="I26" s="581"/>
      <c r="J26" s="581"/>
      <c r="K26" s="578"/>
      <c r="L26" s="578"/>
      <c r="M26" s="578"/>
      <c r="N26" s="590"/>
      <c r="O26" s="578"/>
      <c r="P26" s="578"/>
      <c r="Q26" s="581"/>
      <c r="R26" s="587"/>
      <c r="S26" s="578"/>
      <c r="T26" s="263" t="s">
        <v>354</v>
      </c>
      <c r="U26" s="578"/>
      <c r="V26" s="258">
        <v>4143.34</v>
      </c>
      <c r="W26" s="263" t="s">
        <v>301</v>
      </c>
      <c r="X26" s="259"/>
      <c r="Y26" s="258"/>
      <c r="Z26" s="258"/>
      <c r="AA26" s="578"/>
      <c r="AB26" s="581"/>
      <c r="AC26" s="584"/>
      <c r="AD26" s="104">
        <v>1</v>
      </c>
    </row>
    <row r="27" spans="1:30" s="104" customFormat="1" x14ac:dyDescent="0.25">
      <c r="A27" s="593"/>
      <c r="B27" s="578"/>
      <c r="C27" s="578"/>
      <c r="D27" s="578"/>
      <c r="E27" s="578"/>
      <c r="F27" s="578"/>
      <c r="G27" s="581"/>
      <c r="H27" s="587"/>
      <c r="I27" s="581"/>
      <c r="J27" s="581"/>
      <c r="K27" s="578"/>
      <c r="L27" s="578"/>
      <c r="M27" s="578"/>
      <c r="N27" s="590"/>
      <c r="O27" s="578"/>
      <c r="P27" s="578"/>
      <c r="Q27" s="581"/>
      <c r="R27" s="587"/>
      <c r="S27" s="578"/>
      <c r="T27" s="263" t="s">
        <v>293</v>
      </c>
      <c r="U27" s="578"/>
      <c r="V27" s="258">
        <v>4275.2</v>
      </c>
      <c r="W27" s="263" t="s">
        <v>306</v>
      </c>
      <c r="X27" s="259"/>
      <c r="Y27" s="258"/>
      <c r="Z27" s="258"/>
      <c r="AA27" s="578"/>
      <c r="AB27" s="581"/>
      <c r="AC27" s="584"/>
      <c r="AD27" s="104">
        <v>1</v>
      </c>
    </row>
    <row r="28" spans="1:30" s="104" customFormat="1" x14ac:dyDescent="0.25">
      <c r="A28" s="593"/>
      <c r="B28" s="578"/>
      <c r="C28" s="578"/>
      <c r="D28" s="578"/>
      <c r="E28" s="578"/>
      <c r="F28" s="578"/>
      <c r="G28" s="581"/>
      <c r="H28" s="587"/>
      <c r="I28" s="581"/>
      <c r="J28" s="581"/>
      <c r="K28" s="578"/>
      <c r="L28" s="578"/>
      <c r="M28" s="578"/>
      <c r="N28" s="590"/>
      <c r="O28" s="578"/>
      <c r="P28" s="578"/>
      <c r="Q28" s="581"/>
      <c r="R28" s="587"/>
      <c r="S28" s="578"/>
      <c r="T28" s="263" t="s">
        <v>293</v>
      </c>
      <c r="U28" s="578"/>
      <c r="V28" s="258">
        <v>21560</v>
      </c>
      <c r="W28" s="263" t="s">
        <v>306</v>
      </c>
      <c r="X28" s="259"/>
      <c r="Y28" s="258"/>
      <c r="Z28" s="258"/>
      <c r="AA28" s="578"/>
      <c r="AB28" s="581"/>
      <c r="AC28" s="584"/>
      <c r="AD28" s="104">
        <v>1</v>
      </c>
    </row>
    <row r="29" spans="1:30" s="104" customFormat="1" x14ac:dyDescent="0.25">
      <c r="A29" s="593"/>
      <c r="B29" s="578"/>
      <c r="C29" s="578"/>
      <c r="D29" s="578"/>
      <c r="E29" s="578"/>
      <c r="F29" s="578"/>
      <c r="G29" s="581"/>
      <c r="H29" s="587"/>
      <c r="I29" s="581"/>
      <c r="J29" s="581"/>
      <c r="K29" s="578"/>
      <c r="L29" s="578"/>
      <c r="M29" s="578"/>
      <c r="N29" s="590"/>
      <c r="O29" s="578"/>
      <c r="P29" s="578"/>
      <c r="Q29" s="581"/>
      <c r="R29" s="587"/>
      <c r="S29" s="578"/>
      <c r="T29" s="263" t="s">
        <v>293</v>
      </c>
      <c r="U29" s="578"/>
      <c r="V29" s="258">
        <v>66977.52</v>
      </c>
      <c r="W29" s="263" t="s">
        <v>306</v>
      </c>
      <c r="X29" s="259"/>
      <c r="Y29" s="258"/>
      <c r="Z29" s="258"/>
      <c r="AA29" s="578"/>
      <c r="AB29" s="581"/>
      <c r="AC29" s="584"/>
      <c r="AD29" s="104">
        <v>1</v>
      </c>
    </row>
    <row r="30" spans="1:30" s="104" customFormat="1" x14ac:dyDescent="0.25">
      <c r="A30" s="593"/>
      <c r="B30" s="578"/>
      <c r="C30" s="578"/>
      <c r="D30" s="578"/>
      <c r="E30" s="578"/>
      <c r="F30" s="578"/>
      <c r="G30" s="581"/>
      <c r="H30" s="587"/>
      <c r="I30" s="581"/>
      <c r="J30" s="581"/>
      <c r="K30" s="578"/>
      <c r="L30" s="578"/>
      <c r="M30" s="578"/>
      <c r="N30" s="590"/>
      <c r="O30" s="578"/>
      <c r="P30" s="578"/>
      <c r="Q30" s="581"/>
      <c r="R30" s="587"/>
      <c r="S30" s="578"/>
      <c r="T30" s="263" t="s">
        <v>355</v>
      </c>
      <c r="U30" s="578"/>
      <c r="V30" s="258">
        <v>7689.81</v>
      </c>
      <c r="W30" s="263" t="s">
        <v>353</v>
      </c>
      <c r="X30" s="259"/>
      <c r="Y30" s="258"/>
      <c r="Z30" s="258"/>
      <c r="AA30" s="578"/>
      <c r="AB30" s="581"/>
      <c r="AC30" s="584"/>
      <c r="AD30" s="104">
        <v>1</v>
      </c>
    </row>
    <row r="31" spans="1:30" s="104" customFormat="1" x14ac:dyDescent="0.25">
      <c r="A31" s="593"/>
      <c r="B31" s="578"/>
      <c r="C31" s="578"/>
      <c r="D31" s="578"/>
      <c r="E31" s="578"/>
      <c r="F31" s="578"/>
      <c r="G31" s="581"/>
      <c r="H31" s="587"/>
      <c r="I31" s="581"/>
      <c r="J31" s="581"/>
      <c r="K31" s="578"/>
      <c r="L31" s="578"/>
      <c r="M31" s="578"/>
      <c r="N31" s="590"/>
      <c r="O31" s="578"/>
      <c r="P31" s="578"/>
      <c r="Q31" s="581"/>
      <c r="R31" s="587"/>
      <c r="S31" s="578"/>
      <c r="T31" s="263" t="s">
        <v>355</v>
      </c>
      <c r="U31" s="578"/>
      <c r="V31" s="258">
        <v>38780</v>
      </c>
      <c r="W31" s="263" t="s">
        <v>353</v>
      </c>
      <c r="X31" s="259"/>
      <c r="Y31" s="258"/>
      <c r="Z31" s="258"/>
      <c r="AA31" s="578"/>
      <c r="AB31" s="581"/>
      <c r="AC31" s="584"/>
      <c r="AD31" s="104">
        <v>1</v>
      </c>
    </row>
    <row r="32" spans="1:30" s="104" customFormat="1" x14ac:dyDescent="0.25">
      <c r="A32" s="593"/>
      <c r="B32" s="578"/>
      <c r="C32" s="578"/>
      <c r="D32" s="578"/>
      <c r="E32" s="578"/>
      <c r="F32" s="578"/>
      <c r="G32" s="581"/>
      <c r="H32" s="587"/>
      <c r="I32" s="581"/>
      <c r="J32" s="581"/>
      <c r="K32" s="578"/>
      <c r="L32" s="578"/>
      <c r="M32" s="578"/>
      <c r="N32" s="590"/>
      <c r="O32" s="578"/>
      <c r="P32" s="578"/>
      <c r="Q32" s="581"/>
      <c r="R32" s="587"/>
      <c r="S32" s="578"/>
      <c r="T32" s="263" t="s">
        <v>355</v>
      </c>
      <c r="U32" s="578"/>
      <c r="V32" s="258">
        <v>120472.55</v>
      </c>
      <c r="W32" s="263" t="s">
        <v>353</v>
      </c>
      <c r="X32" s="259"/>
      <c r="Y32" s="258"/>
      <c r="Z32" s="258"/>
      <c r="AA32" s="578"/>
      <c r="AB32" s="581"/>
      <c r="AC32" s="584"/>
      <c r="AD32" s="104">
        <v>1</v>
      </c>
    </row>
    <row r="33" spans="1:30" s="104" customFormat="1" x14ac:dyDescent="0.25">
      <c r="A33" s="593"/>
      <c r="B33" s="578"/>
      <c r="C33" s="578"/>
      <c r="D33" s="578"/>
      <c r="E33" s="578"/>
      <c r="F33" s="578"/>
      <c r="G33" s="581"/>
      <c r="H33" s="587"/>
      <c r="I33" s="581"/>
      <c r="J33" s="581"/>
      <c r="K33" s="578"/>
      <c r="L33" s="578"/>
      <c r="M33" s="578"/>
      <c r="N33" s="590"/>
      <c r="O33" s="578"/>
      <c r="P33" s="578"/>
      <c r="Q33" s="581"/>
      <c r="R33" s="587"/>
      <c r="S33" s="578"/>
      <c r="T33" s="263" t="s">
        <v>360</v>
      </c>
      <c r="U33" s="578"/>
      <c r="V33" s="258">
        <v>28455</v>
      </c>
      <c r="W33" s="263" t="s">
        <v>358</v>
      </c>
      <c r="X33" s="259"/>
      <c r="Y33" s="258"/>
      <c r="Z33" s="258"/>
      <c r="AA33" s="578"/>
      <c r="AB33" s="581"/>
      <c r="AC33" s="584"/>
      <c r="AD33" s="104">
        <v>1</v>
      </c>
    </row>
    <row r="34" spans="1:30" s="104" customFormat="1" x14ac:dyDescent="0.25">
      <c r="A34" s="593"/>
      <c r="B34" s="578"/>
      <c r="C34" s="578"/>
      <c r="D34" s="578"/>
      <c r="E34" s="578"/>
      <c r="F34" s="578"/>
      <c r="G34" s="581"/>
      <c r="H34" s="587"/>
      <c r="I34" s="581"/>
      <c r="J34" s="581"/>
      <c r="K34" s="578"/>
      <c r="L34" s="578"/>
      <c r="M34" s="578"/>
      <c r="N34" s="590"/>
      <c r="O34" s="578"/>
      <c r="P34" s="578"/>
      <c r="Q34" s="581"/>
      <c r="R34" s="587"/>
      <c r="S34" s="578"/>
      <c r="T34" s="263" t="s">
        <v>360</v>
      </c>
      <c r="U34" s="578"/>
      <c r="V34" s="258">
        <v>88397.27</v>
      </c>
      <c r="W34" s="263" t="s">
        <v>358</v>
      </c>
      <c r="X34" s="259"/>
      <c r="Y34" s="258"/>
      <c r="Z34" s="258"/>
      <c r="AA34" s="578"/>
      <c r="AB34" s="581"/>
      <c r="AC34" s="584"/>
      <c r="AD34" s="104">
        <v>1</v>
      </c>
    </row>
    <row r="35" spans="1:30" s="104" customFormat="1" x14ac:dyDescent="0.25">
      <c r="A35" s="593"/>
      <c r="B35" s="578"/>
      <c r="C35" s="578"/>
      <c r="D35" s="578"/>
      <c r="E35" s="578"/>
      <c r="F35" s="578"/>
      <c r="G35" s="581"/>
      <c r="H35" s="587"/>
      <c r="I35" s="581"/>
      <c r="J35" s="581"/>
      <c r="K35" s="578"/>
      <c r="L35" s="578"/>
      <c r="M35" s="578"/>
      <c r="N35" s="590"/>
      <c r="O35" s="578"/>
      <c r="P35" s="578"/>
      <c r="Q35" s="581"/>
      <c r="R35" s="587"/>
      <c r="S35" s="578"/>
      <c r="T35" s="263" t="s">
        <v>360</v>
      </c>
      <c r="U35" s="578"/>
      <c r="V35" s="258">
        <v>5642.44</v>
      </c>
      <c r="W35" s="263" t="s">
        <v>358</v>
      </c>
      <c r="X35" s="259"/>
      <c r="Y35" s="258"/>
      <c r="Z35" s="258"/>
      <c r="AA35" s="578"/>
      <c r="AB35" s="581"/>
      <c r="AC35" s="584"/>
      <c r="AD35" s="104">
        <v>1</v>
      </c>
    </row>
    <row r="36" spans="1:30" s="104" customFormat="1" x14ac:dyDescent="0.25">
      <c r="A36" s="593"/>
      <c r="B36" s="578"/>
      <c r="C36" s="578"/>
      <c r="D36" s="578"/>
      <c r="E36" s="578"/>
      <c r="F36" s="578"/>
      <c r="G36" s="581"/>
      <c r="H36" s="587"/>
      <c r="I36" s="581"/>
      <c r="J36" s="581"/>
      <c r="K36" s="578"/>
      <c r="L36" s="578"/>
      <c r="M36" s="578"/>
      <c r="N36" s="590"/>
      <c r="O36" s="578"/>
      <c r="P36" s="578"/>
      <c r="Q36" s="581"/>
      <c r="R36" s="587"/>
      <c r="S36" s="578"/>
      <c r="T36" s="263" t="s">
        <v>402</v>
      </c>
      <c r="U36" s="578"/>
      <c r="V36" s="258">
        <v>31745</v>
      </c>
      <c r="W36" s="263" t="s">
        <v>373</v>
      </c>
      <c r="X36" s="259"/>
      <c r="Y36" s="258"/>
      <c r="Z36" s="258"/>
      <c r="AA36" s="578"/>
      <c r="AB36" s="581"/>
      <c r="AC36" s="584"/>
      <c r="AD36" s="104">
        <v>1</v>
      </c>
    </row>
    <row r="37" spans="1:30" s="104" customFormat="1" x14ac:dyDescent="0.25">
      <c r="A37" s="593"/>
      <c r="B37" s="578"/>
      <c r="C37" s="578"/>
      <c r="D37" s="578"/>
      <c r="E37" s="578"/>
      <c r="F37" s="578"/>
      <c r="G37" s="581"/>
      <c r="H37" s="587"/>
      <c r="I37" s="581"/>
      <c r="J37" s="581"/>
      <c r="K37" s="578"/>
      <c r="L37" s="578"/>
      <c r="M37" s="578"/>
      <c r="N37" s="590"/>
      <c r="O37" s="578"/>
      <c r="P37" s="578"/>
      <c r="Q37" s="581"/>
      <c r="R37" s="587"/>
      <c r="S37" s="578"/>
      <c r="T37" s="263" t="s">
        <v>402</v>
      </c>
      <c r="U37" s="578"/>
      <c r="V37" s="258">
        <v>6294.82</v>
      </c>
      <c r="W37" s="263" t="s">
        <v>373</v>
      </c>
      <c r="X37" s="259"/>
      <c r="Y37" s="258"/>
      <c r="Z37" s="258"/>
      <c r="AA37" s="578"/>
      <c r="AB37" s="581"/>
      <c r="AC37" s="584"/>
      <c r="AD37" s="104">
        <v>1</v>
      </c>
    </row>
    <row r="38" spans="1:30" s="104" customFormat="1" x14ac:dyDescent="0.25">
      <c r="A38" s="593"/>
      <c r="B38" s="578"/>
      <c r="C38" s="578"/>
      <c r="D38" s="578"/>
      <c r="E38" s="578"/>
      <c r="F38" s="578"/>
      <c r="G38" s="581"/>
      <c r="H38" s="587"/>
      <c r="I38" s="581"/>
      <c r="J38" s="581"/>
      <c r="K38" s="578"/>
      <c r="L38" s="578"/>
      <c r="M38" s="578"/>
      <c r="N38" s="590"/>
      <c r="O38" s="578"/>
      <c r="P38" s="578"/>
      <c r="Q38" s="581"/>
      <c r="R38" s="587"/>
      <c r="S38" s="578"/>
      <c r="T38" s="263" t="s">
        <v>402</v>
      </c>
      <c r="U38" s="578"/>
      <c r="V38" s="258">
        <v>98617.87</v>
      </c>
      <c r="W38" s="263" t="s">
        <v>373</v>
      </c>
      <c r="X38" s="259"/>
      <c r="Y38" s="258"/>
      <c r="Z38" s="258"/>
      <c r="AA38" s="578"/>
      <c r="AB38" s="581"/>
      <c r="AC38" s="584"/>
      <c r="AD38" s="104">
        <v>1</v>
      </c>
    </row>
    <row r="39" spans="1:30" s="104" customFormat="1" x14ac:dyDescent="0.25">
      <c r="A39" s="593"/>
      <c r="B39" s="578"/>
      <c r="C39" s="578"/>
      <c r="D39" s="578"/>
      <c r="E39" s="578"/>
      <c r="F39" s="578"/>
      <c r="G39" s="581"/>
      <c r="H39" s="587"/>
      <c r="I39" s="581"/>
      <c r="J39" s="581"/>
      <c r="K39" s="578"/>
      <c r="L39" s="578"/>
      <c r="M39" s="578"/>
      <c r="N39" s="590"/>
      <c r="O39" s="578"/>
      <c r="P39" s="578"/>
      <c r="Q39" s="581"/>
      <c r="R39" s="587"/>
      <c r="S39" s="578"/>
      <c r="T39" s="263" t="s">
        <v>403</v>
      </c>
      <c r="U39" s="578"/>
      <c r="V39" s="258">
        <v>3782.44</v>
      </c>
      <c r="W39" s="263" t="s">
        <v>404</v>
      </c>
      <c r="X39" s="259"/>
      <c r="Y39" s="258"/>
      <c r="Z39" s="258"/>
      <c r="AA39" s="578"/>
      <c r="AB39" s="581"/>
      <c r="AC39" s="584"/>
      <c r="AD39" s="104">
        <v>1</v>
      </c>
    </row>
    <row r="40" spans="1:30" s="104" customFormat="1" x14ac:dyDescent="0.25">
      <c r="A40" s="593"/>
      <c r="B40" s="578"/>
      <c r="C40" s="578"/>
      <c r="D40" s="578"/>
      <c r="E40" s="578"/>
      <c r="F40" s="578"/>
      <c r="G40" s="581"/>
      <c r="H40" s="587"/>
      <c r="I40" s="581"/>
      <c r="J40" s="581"/>
      <c r="K40" s="578"/>
      <c r="L40" s="578"/>
      <c r="M40" s="578"/>
      <c r="N40" s="590"/>
      <c r="O40" s="578"/>
      <c r="P40" s="578"/>
      <c r="Q40" s="581"/>
      <c r="R40" s="587"/>
      <c r="S40" s="578"/>
      <c r="T40" s="263" t="s">
        <v>403</v>
      </c>
      <c r="U40" s="578"/>
      <c r="V40" s="258">
        <v>59257.71</v>
      </c>
      <c r="W40" s="263" t="s">
        <v>404</v>
      </c>
      <c r="X40" s="259"/>
      <c r="Y40" s="258"/>
      <c r="Z40" s="258"/>
      <c r="AA40" s="578"/>
      <c r="AB40" s="581"/>
      <c r="AC40" s="584"/>
      <c r="AD40" s="104">
        <v>1</v>
      </c>
    </row>
    <row r="41" spans="1:30" s="104" customFormat="1" x14ac:dyDescent="0.25">
      <c r="A41" s="594"/>
      <c r="B41" s="579"/>
      <c r="C41" s="579"/>
      <c r="D41" s="579"/>
      <c r="E41" s="579"/>
      <c r="F41" s="579"/>
      <c r="G41" s="582"/>
      <c r="H41" s="588"/>
      <c r="I41" s="582"/>
      <c r="J41" s="582"/>
      <c r="K41" s="579"/>
      <c r="L41" s="579"/>
      <c r="M41" s="579"/>
      <c r="N41" s="591"/>
      <c r="O41" s="579"/>
      <c r="P41" s="579"/>
      <c r="Q41" s="582"/>
      <c r="R41" s="588"/>
      <c r="S41" s="579"/>
      <c r="T41" s="263" t="s">
        <v>403</v>
      </c>
      <c r="U41" s="579"/>
      <c r="V41" s="260">
        <v>19075</v>
      </c>
      <c r="W41" s="264" t="s">
        <v>404</v>
      </c>
      <c r="X41" s="261"/>
      <c r="Y41" s="260"/>
      <c r="Z41" s="260"/>
      <c r="AA41" s="579"/>
      <c r="AB41" s="582"/>
      <c r="AC41" s="585"/>
      <c r="AD41" s="104">
        <v>1</v>
      </c>
    </row>
    <row r="42" spans="1:30" x14ac:dyDescent="0.25">
      <c r="AD42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27"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436" t="s">
        <v>139</v>
      </c>
      <c r="F2" s="437"/>
      <c r="G2" s="82">
        <f>SUM(G9:G9999)</f>
        <v>0</v>
      </c>
      <c r="H2" s="10"/>
      <c r="O2" s="436" t="s">
        <v>24</v>
      </c>
      <c r="P2" s="437"/>
      <c r="Q2" s="80">
        <f>SUM(Q9:Q9999)</f>
        <v>0</v>
      </c>
      <c r="T2" s="331" t="s">
        <v>137</v>
      </c>
      <c r="U2" s="333"/>
      <c r="V2" s="69">
        <f>SUM(V9:V9999)</f>
        <v>0</v>
      </c>
      <c r="X2" s="68"/>
      <c r="Y2" s="331" t="s">
        <v>45</v>
      </c>
      <c r="Z2" s="332"/>
      <c r="AA2" s="333"/>
      <c r="AB2" s="70">
        <f>SUM(AB9:AB9999)</f>
        <v>0</v>
      </c>
    </row>
    <row r="4" spans="1:30" ht="39.950000000000003" customHeight="1" x14ac:dyDescent="0.25">
      <c r="P4" s="335"/>
      <c r="Q4" s="335"/>
      <c r="R4" s="335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25">
      <c r="M9" s="3"/>
      <c r="AD9" s="2">
        <v>10</v>
      </c>
    </row>
    <row r="10" spans="1:30" x14ac:dyDescent="0.25">
      <c r="M10" s="3"/>
    </row>
    <row r="11" spans="1:30" x14ac:dyDescent="0.25">
      <c r="M11" s="3"/>
    </row>
    <row r="12" spans="1:30" x14ac:dyDescent="0.25">
      <c r="M12" s="3"/>
    </row>
    <row r="13" spans="1:30" x14ac:dyDescent="0.25">
      <c r="M13" s="3"/>
    </row>
    <row r="14" spans="1:30" x14ac:dyDescent="0.25">
      <c r="M14" s="3"/>
    </row>
    <row r="15" spans="1:30" x14ac:dyDescent="0.25">
      <c r="M15" s="3"/>
    </row>
    <row r="16" spans="1:30" x14ac:dyDescent="0.25">
      <c r="M16" s="3"/>
    </row>
    <row r="17" spans="13:13" x14ac:dyDescent="0.25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33</v>
      </c>
      <c r="B1" s="47">
        <v>19</v>
      </c>
      <c r="C1" s="47">
        <v>9</v>
      </c>
      <c r="D1" s="597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98"/>
      <c r="E2" s="32"/>
      <c r="F2" s="62">
        <v>163</v>
      </c>
      <c r="G2" s="66">
        <v>181</v>
      </c>
      <c r="H2" s="65">
        <v>10</v>
      </c>
      <c r="I2" s="64">
        <v>2</v>
      </c>
      <c r="J2" s="63">
        <v>1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110</v>
      </c>
      <c r="B4" s="44">
        <v>24</v>
      </c>
      <c r="C4" s="44">
        <v>9</v>
      </c>
      <c r="D4" s="599" t="s">
        <v>102</v>
      </c>
      <c r="E4" s="32"/>
      <c r="F4" s="62">
        <v>164</v>
      </c>
      <c r="G4" s="66">
        <v>182</v>
      </c>
      <c r="H4" s="65">
        <v>11</v>
      </c>
      <c r="I4" s="64">
        <v>3</v>
      </c>
      <c r="J4" s="63">
        <v>2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600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13</v>
      </c>
      <c r="B7" s="46">
        <v>2</v>
      </c>
      <c r="C7" s="46">
        <v>9</v>
      </c>
      <c r="D7" s="601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602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12</v>
      </c>
      <c r="B10" s="42">
        <v>1</v>
      </c>
      <c r="C10" s="42">
        <v>9</v>
      </c>
      <c r="D10" s="603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604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41</v>
      </c>
      <c r="B13" s="40">
        <v>1</v>
      </c>
      <c r="C13" s="40">
        <v>9</v>
      </c>
      <c r="D13" s="605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606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</v>
      </c>
      <c r="B16" s="38">
        <v>0</v>
      </c>
      <c r="C16" s="38">
        <v>9</v>
      </c>
      <c r="D16" s="595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96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2025-06-16T11:42:46Z</dcterms:modified>
</cp:coreProperties>
</file>