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ЭтаКнига"/>
  <workbookProtection workbookAlgorithmName="SHA-512" workbookHashValue="EjQ9Rb7SskPiimR6E7g5f3i095kJRNNENtwbbwIwS4PbxXqEj7yVJQri69H67rH5mOdj6ZRL9sE5nD2eq+c/AA==" workbookSaltValue="rLmuDJPbaXSAslZOA09y8g==" workbookSpinCount="100000" lockStructure="1"/>
  <bookViews>
    <workbookView windowWidth="28800" windowHeight="12300" tabRatio="925"/>
  </bookViews>
  <sheets>
    <sheet name="0.Результаты расчета" sheetId="42" r:id="rId1"/>
    <sheet name="Экспресс потенциал" sheetId="28" state="hidden" r:id="rId2"/>
    <sheet name="1.Общие данные по зданию" sheetId="27" r:id="rId3"/>
    <sheet name="Бассейны" sheetId="30" state="hidden" r:id="rId4"/>
    <sheet name="2.УР ТЭ на нужды ОиВ" sheetId="34" r:id="rId5"/>
    <sheet name="3.УР горячей воды" sheetId="35" r:id="rId6"/>
    <sheet name="4.УР холодной воды" sheetId="37" r:id="rId7"/>
    <sheet name="5.УР ЭЭ" sheetId="36" r:id="rId8"/>
    <sheet name="6.УР природного газа на цели ПП" sheetId="38" r:id="rId9"/>
    <sheet name="7.УР топлива на отопл. и вент." sheetId="39" r:id="rId10"/>
    <sheet name="8.УР моторного топлива" sheetId="40" r:id="rId11"/>
    <sheet name="ВУЗ" sheetId="23" state="hidden" r:id="rId12"/>
    <sheet name="Школа искусств" sheetId="24" state="hidden" r:id="rId13"/>
    <sheet name="Муз.школа" sheetId="25" state="hidden" r:id="rId14"/>
    <sheet name="ФАП" sheetId="26" state="hidden" r:id="rId15"/>
    <sheet name="Театры, кинотеатры" sheetId="21" state="hidden" r:id="rId16"/>
    <sheet name="Музеи" sheetId="22" state="hidden" r:id="rId17"/>
    <sheet name="ДЮСШ" sheetId="20" state="hidden" r:id="rId18"/>
    <sheet name="Больница" sheetId="15" state="hidden" r:id="rId19"/>
    <sheet name="Мед.стационар" sheetId="14" state="hidden" r:id="rId20"/>
    <sheet name="Поликлиника,амбулаторий" sheetId="13" state="hidden" r:id="rId21"/>
    <sheet name="Аптека,мол.кухня,ветаптека" sheetId="12" state="hidden" r:id="rId22"/>
    <sheet name="Клуб" sheetId="8" state="hidden" r:id="rId23"/>
    <sheet name="ДОУ" sheetId="2" state="hidden" r:id="rId24"/>
    <sheet name="Библиотеки" sheetId="4" state="hidden" r:id="rId25"/>
    <sheet name="Адм. здания" sheetId="5" state="hidden" r:id="rId26"/>
    <sheet name="НИИ и проч" sheetId="6" state="hidden" r:id="rId27"/>
    <sheet name="Центры занятости и Собесы" sheetId="7" state="hidden" r:id="rId28"/>
    <sheet name="Общеобр.У" sheetId="10" state="hidden" r:id="rId29"/>
    <sheet name="Откр.спорт.сооруж-е" sheetId="29" state="hidden" r:id="rId30"/>
    <sheet name="Крыт.спорт.сооруж-е" sheetId="31" state="hidden" r:id="rId31"/>
    <sheet name="Климатология2019" sheetId="32" state="hidden" r:id="rId32"/>
    <sheet name="Климатология2020" sheetId="43" state="hidden" r:id="rId33"/>
    <sheet name="Климатология2021" sheetId="44" state="hidden" r:id="rId34"/>
    <sheet name="Климатология2022" sheetId="45" state="hidden" r:id="rId35"/>
    <sheet name="Климатология2023" sheetId="46" state="hidden" r:id="rId36"/>
    <sheet name="Климатология2024" sheetId="47" state="hidden" r:id="rId37"/>
    <sheet name="Климатология2025" sheetId="48" state="hidden" r:id="rId38"/>
    <sheet name="списки" sheetId="33" state="hidden" r:id="rId39"/>
  </sheets>
  <definedNames>
    <definedName name="_ftn1" localSheetId="1">'Экспресс потенциал'!$S$30</definedName>
    <definedName name="_ftnref1" localSheetId="1">'Экспресс потенциал'!$U$6</definedName>
    <definedName name="danet">списки!$Q$7:$Q$9</definedName>
    <definedName name="MotTopl">списки!$A$553:$A$560</definedName>
    <definedName name="PUdanet">списки!$X$7:$X$9</definedName>
    <definedName name="Smeny">'Экспресс потенциал'!$M$32:$M$33</definedName>
    <definedName name="TipyExpress">'Экспресс потенциал'!$B$5:$B$27</definedName>
    <definedName name="Uchet">списки!$Q$3:$Q$5</definedName>
    <definedName name="РегионСтарт" localSheetId="10">Table2[[#Headers],[Регион]]</definedName>
    <definedName name="РегионСтарт" localSheetId="32">Table2[[#Headers],[Регион]]</definedName>
    <definedName name="РегионСтарт" localSheetId="33">Table2[[#Headers],[Регион]]</definedName>
    <definedName name="РегионСтарт">Table2[[#Headers],[Регион]]</definedName>
    <definedName name="РегионСтолбец" localSheetId="10">Table2[[#All],[Регион]]</definedName>
    <definedName name="РегионСтолбец" localSheetId="32">Table2[[#All],[Регион]]</definedName>
    <definedName name="РегионСтолбец" localSheetId="33">Table2[[#All],[Регион]]</definedName>
    <definedName name="РегионСтолбец">Table2[[#All],[Регион]]</definedName>
    <definedName name="РегионыСписок" localSheetId="32">Климатология2020!$B$5:$B$94</definedName>
    <definedName name="РегионыСписок" localSheetId="33">Климатология2021!$B$5:$B$94</definedName>
    <definedName name="РегионыСписок">Климатология2019!$B$5:$B$94</definedName>
    <definedName name="СпискиРегионы">Климатология2024!$B$5:$B$99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konstantin</author>
  </authors>
  <commentList>
    <comment ref="A58" authorId="0">
      <text>
        <r>
          <rPr>
            <b/>
            <sz val="9"/>
            <rFont val="Tahoma"/>
            <charset val="204"/>
          </rPr>
          <t xml:space="preserve">Konstantin:
</t>
        </r>
        <r>
          <rPr>
            <sz val="9"/>
            <rFont val="Tahoma"/>
            <charset val="204"/>
          </rPr>
          <t xml:space="preserve">Показатель принят по СТО НОП 2.1.-2014 для учреждений физкультурно-оздоровительной направленности и учитывает потребление электроэнергии только на освещение и бытовое оборудование.
</t>
        </r>
      </text>
    </comment>
    <comment ref="B58" authorId="0">
      <text>
        <r>
          <rPr>
            <b/>
            <sz val="9"/>
            <rFont val="Tahoma"/>
            <charset val="204"/>
          </rPr>
          <t>konstantin:</t>
        </r>
        <r>
          <rPr>
            <sz val="9"/>
            <rFont val="Tahoma"/>
            <charset val="204"/>
          </rPr>
          <t xml:space="preserve">
Показатель принят по СТО НОП 2.1.-2014 для учреждений физкультурно-оздоровительной направленности и учитывает потребление электроэнергии только на освещение и бытовое оборудование.</t>
        </r>
      </text>
    </comment>
    <comment ref="A60" authorId="0">
      <text>
        <r>
          <rPr>
            <b/>
            <sz val="9"/>
            <rFont val="Tahoma"/>
            <charset val="204"/>
          </rPr>
          <t xml:space="preserve">Konstantin:
</t>
        </r>
        <r>
          <rPr>
            <sz val="9"/>
            <rFont val="Tahoma"/>
            <charset val="204"/>
          </rPr>
          <t xml:space="preserve">Учитывает потребление электроэнергии на наружное и внутреннее освещение, бытовое оборудование и инженерные системы
</t>
        </r>
      </text>
    </comment>
    <comment ref="B60" authorId="0">
      <text>
        <r>
          <rPr>
            <b/>
            <sz val="9"/>
            <rFont val="Tahoma"/>
            <charset val="204"/>
          </rPr>
          <t>konstantin:</t>
        </r>
        <r>
          <rPr>
            <sz val="9"/>
            <rFont val="Tahoma"/>
            <charset val="204"/>
          </rPr>
          <t xml:space="preserve">
Учитывает потребление электроэнергии на наружное и внутреннее освещение, бытовое оборудование и инженерные системы</t>
        </r>
      </text>
    </comment>
    <comment ref="B125" authorId="0">
      <text>
        <r>
          <rPr>
            <b/>
            <sz val="9"/>
            <rFont val="Tahoma"/>
            <charset val="204"/>
          </rPr>
          <t xml:space="preserve">Konstantin:
</t>
        </r>
        <r>
          <rPr>
            <sz val="9"/>
            <rFont val="Tahoma"/>
            <charset val="204"/>
          </rPr>
          <t xml:space="preserve">Принятое значение базового уровня удельного расхода тепловой энергии на отопление и вентиляцию (27,5 по СТО НОП 2.1.-2014), соответствующее учреждениям физкультурно-оздоровительной направленности  не подходит для бассейнов.
Причина следующая.
В залах с ваннами бассейнов должна поддерживаться более высокая температура внутреннего воздуха, по сравнению с  учреждениями физкультурно-оздоровительной направленности.
- в залах с ваннами бассейнов: 24-34 С (спортивные, детские и оздоровительные бассейны);
- в помещениях учреждений физкультурно-оздоровительной направленности: 20-17 С. 
Соответственно и расход тепловой энергии (отопление и вентиляция) на поддержание более высокой температуры внутреннего воздуха для бассейнов будет больше. 
</t>
        </r>
      </text>
    </comment>
  </commentList>
</comments>
</file>

<file path=xl/comments2.xml><?xml version="1.0" encoding="utf-8"?>
<comments xmlns="http://schemas.openxmlformats.org/spreadsheetml/2006/main">
  <authors>
    <author>konstantin</author>
  </authors>
  <commentList>
    <comment ref="A58" authorId="0">
      <text>
        <r>
          <rPr>
            <b/>
            <sz val="9"/>
            <rFont val="Tahoma"/>
            <charset val="204"/>
          </rPr>
          <t>Konstantin:
Показатель учитывает потребление электроэнергии только на освещение и бытовое оборудование.</t>
        </r>
        <r>
          <rPr>
            <sz val="9"/>
            <rFont val="Tahoma"/>
            <charset val="204"/>
          </rPr>
          <t xml:space="preserve">
</t>
        </r>
      </text>
    </comment>
    <comment ref="A60" authorId="0">
      <text>
        <r>
          <rPr>
            <b/>
            <sz val="9"/>
            <rFont val="Tahoma"/>
            <charset val="204"/>
          </rPr>
          <t>Konstantin:
Учитывает потребление электроэнергии на наружное и внутреннее освещение, бытовое оборудование и инженерные системы</t>
        </r>
        <r>
          <rPr>
            <sz val="9"/>
            <rFont val="Tahoma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konstantin</author>
  </authors>
  <commentList>
    <comment ref="A58" authorId="0">
      <text>
        <r>
          <rPr>
            <b/>
            <sz val="9"/>
            <rFont val="Tahoma"/>
            <charset val="204"/>
          </rPr>
          <t xml:space="preserve">Konstantin:
</t>
        </r>
        <r>
          <rPr>
            <sz val="9"/>
            <rFont val="Tahoma"/>
            <charset val="204"/>
          </rPr>
          <t xml:space="preserve">Показатель принят по СТО НОП 2.1.-2014 для учреждений физкультурно-оздоровительной направленности и учитывает потребление электроэнергии только на освещение и бытовое оборудование.
</t>
        </r>
      </text>
    </comment>
    <comment ref="B58" authorId="0">
      <text>
        <r>
          <rPr>
            <b/>
            <sz val="9"/>
            <rFont val="Tahoma"/>
            <charset val="204"/>
          </rPr>
          <t>konstantin:</t>
        </r>
        <r>
          <rPr>
            <sz val="9"/>
            <rFont val="Tahoma"/>
            <charset val="204"/>
          </rPr>
          <t xml:space="preserve">
Показатель принят по СТО НОП 2.1.-2014 для учреждений физкультурно-оздоровительной направленности и учитывает потребление электроэнергии только на освещение и бытовое оборудование.</t>
        </r>
      </text>
    </comment>
    <comment ref="A60" authorId="0">
      <text>
        <r>
          <rPr>
            <b/>
            <sz val="9"/>
            <rFont val="Tahoma"/>
            <charset val="204"/>
          </rPr>
          <t xml:space="preserve">Konstantin:
</t>
        </r>
        <r>
          <rPr>
            <sz val="9"/>
            <rFont val="Tahoma"/>
            <charset val="204"/>
          </rPr>
          <t xml:space="preserve">Учитывает потребление электроэнергии на наружное и внутреннее освещение, бытовое оборудование и инженерные системы
</t>
        </r>
      </text>
    </comment>
    <comment ref="B60" authorId="0">
      <text>
        <r>
          <rPr>
            <b/>
            <sz val="9"/>
            <rFont val="Tahoma"/>
            <charset val="204"/>
          </rPr>
          <t>konstantin:</t>
        </r>
        <r>
          <rPr>
            <sz val="9"/>
            <rFont val="Tahoma"/>
            <charset val="204"/>
          </rPr>
          <t xml:space="preserve">
Учитывает потребление электроэнергии на наружное и внутреннее освещение, бытовое оборудование и инженерные системы</t>
        </r>
      </text>
    </comment>
    <comment ref="B190" authorId="0">
      <text>
        <r>
          <rPr>
            <b/>
            <sz val="9"/>
            <rFont val="Tahoma"/>
            <charset val="204"/>
          </rPr>
          <t>konstantin:</t>
        </r>
        <r>
          <rPr>
            <sz val="9"/>
            <rFont val="Tahoma"/>
            <charset val="204"/>
          </rPr>
          <t xml:space="preserve">
На одного зрителя </t>
        </r>
      </text>
    </comment>
  </commentList>
</comments>
</file>

<file path=xl/comments4.xml><?xml version="1.0" encoding="utf-8"?>
<comments xmlns="http://schemas.openxmlformats.org/spreadsheetml/2006/main">
  <authors>
    <author>konstantin</author>
  </authors>
  <commentList>
    <comment ref="A58" authorId="0">
      <text>
        <r>
          <rPr>
            <b/>
            <sz val="9"/>
            <rFont val="Tahoma"/>
            <charset val="204"/>
          </rPr>
          <t>Konstantin:
Показатель учитывает потребление электроэнергии только на освещение и бытовое оборудование.</t>
        </r>
        <r>
          <rPr>
            <sz val="9"/>
            <rFont val="Tahoma"/>
            <charset val="204"/>
          </rPr>
          <t xml:space="preserve">
</t>
        </r>
      </text>
    </comment>
    <comment ref="A60" authorId="0">
      <text>
        <r>
          <rPr>
            <b/>
            <sz val="9"/>
            <rFont val="Tahoma"/>
            <charset val="204"/>
          </rPr>
          <t>Konstantin:
Учитывает потребление электроэнергии на наружное и внутреннее освещение, бытовое оборудование и инженерные системы</t>
        </r>
        <r>
          <rPr>
            <sz val="9"/>
            <rFont val="Tahoma"/>
            <charset val="204"/>
          </rPr>
          <t xml:space="preserve">
</t>
        </r>
      </text>
    </comment>
    <comment ref="B190" authorId="0">
      <text>
        <r>
          <rPr>
            <b/>
            <sz val="9"/>
            <rFont val="Tahoma"/>
            <charset val="204"/>
          </rPr>
          <t>Konstantin:
Для спортивных и физкультурно-оздоровительных комплексов явно завышенный базовый (нормативный) удельный расход горячей воды.</t>
        </r>
        <r>
          <rPr>
            <sz val="9"/>
            <rFont val="Tahoma"/>
            <charset val="204"/>
          </rPr>
          <t xml:space="preserve">
</t>
        </r>
      </text>
    </comment>
    <comment ref="B256" authorId="0">
      <text>
        <r>
          <rPr>
            <b/>
            <sz val="9"/>
            <rFont val="Tahoma"/>
            <charset val="204"/>
          </rPr>
          <t>Konstantin:
Для спортивных и физкультурно-оздоровительных комплексов явно завышенный базовый (нормативный) удельный расход холодной воды.</t>
        </r>
        <r>
          <rPr>
            <sz val="9"/>
            <rFont val="Tahoma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<sst xmlns="http://schemas.openxmlformats.org/spreadsheetml/2006/main" count="10817" uniqueCount="1042">
  <si>
    <t>Расчет потенциала и целевого уровня снижения (ЦУС) потребления ресурсов</t>
  </si>
  <si>
    <t xml:space="preserve">Автоматизированная расчетная форма для определения в сопоставимых условиях целевого уровня снижения государственными (муниципальными) учреждениями потребляемых каждым зданием этого учреждения дизельного и иного топлива, мазута, природного газа, тепловой энергии, электрической энергии, угля, объема потребляемой ими воды, а также моторного топлива транспортными средствами на балансе данного учреждения
</t>
  </si>
  <si>
    <t>Расчеты проводятся в соответствии с Методическими Рекомендациями по определению в сопоставимых условиях целевого уровня снижения государственными (муниципальными) учреждениями суммарного объема потребляемых ими дизельного и иного топлива, мазута, природного газа, тепловой энергии, электрической энергии, угля, а также объема потребляемой ими воды</t>
  </si>
  <si>
    <t>Дата заполнения</t>
  </si>
  <si>
    <t>ФИО заполняющего</t>
  </si>
  <si>
    <t>Миронов Е.В.</t>
  </si>
  <si>
    <t>Должность заполняющего</t>
  </si>
  <si>
    <t>Директор</t>
  </si>
  <si>
    <t>Наименование учреждения</t>
  </si>
  <si>
    <t>МБУК кинотеатр "Горн"</t>
  </si>
  <si>
    <t>ИНН учреждения</t>
  </si>
  <si>
    <t>Наименование здания, строения, сооружения</t>
  </si>
  <si>
    <t>Показатель</t>
  </si>
  <si>
    <t>Удельное годовое значение</t>
  </si>
  <si>
    <t>Уровень высокой эффективности (справочно)</t>
  </si>
  <si>
    <t xml:space="preserve">Потенциал снижения потребления </t>
  </si>
  <si>
    <t>Целевой уровень экономии</t>
  </si>
  <si>
    <t>Целевой уровень снижения 
за первый год</t>
  </si>
  <si>
    <t>Целевой уровень снижения 
за первый и второй год</t>
  </si>
  <si>
    <t>Целевой уровень снижения 
за трехлетний период</t>
  </si>
  <si>
    <t>Потребление тепловой энергии на отопление и вентиляцию, Втч/м2/ГСОП</t>
  </si>
  <si>
    <t>Потребление горячей воды, м3/чел</t>
  </si>
  <si>
    <t>Потребление холодной воды, м3/чел</t>
  </si>
  <si>
    <t>Потребление электрической энергии, кВтч/м2</t>
  </si>
  <si>
    <t>Потребление природного газа, м3/м2</t>
  </si>
  <si>
    <t>Потребление твердого топлива на нужды отопления и вентиляции, Втч/м2/ГСОП</t>
  </si>
  <si>
    <t>Потребление иного энергетического ресурса на  нужды отопления и вентиляции, Втч/м2/ГСОП</t>
  </si>
  <si>
    <t>Потребление моторного топлива, тут/л</t>
  </si>
  <si>
    <t>Рекомендации</t>
  </si>
  <si>
    <t>Задания</t>
  </si>
  <si>
    <t>Потенциал</t>
  </si>
  <si>
    <t>ЭЭ</t>
  </si>
  <si>
    <t>Тепло отопление</t>
  </si>
  <si>
    <t xml:space="preserve">ГВС </t>
  </si>
  <si>
    <t>ХВС</t>
  </si>
  <si>
    <t>Газ</t>
  </si>
  <si>
    <t>Тв т</t>
  </si>
  <si>
    <t>Твердое топливо</t>
  </si>
  <si>
    <t>кВтч/м2</t>
  </si>
  <si>
    <t>Вт·ч/ (кв.м×°С×сутки)</t>
  </si>
  <si>
    <t>м3/чел</t>
  </si>
  <si>
    <t>м3/м2</t>
  </si>
  <si>
    <t>Пожалуйста, выберите…</t>
  </si>
  <si>
    <t>Модальная этажность</t>
  </si>
  <si>
    <t>Среднее</t>
  </si>
  <si>
    <t>Эфф</t>
  </si>
  <si>
    <t>Выбор к-та коррекции</t>
  </si>
  <si>
    <t>Темп</t>
  </si>
  <si>
    <t>Детские сады различного типа</t>
  </si>
  <si>
    <t>П3-2</t>
  </si>
  <si>
    <t xml:space="preserve">административного и общеобразовательного </t>
  </si>
  <si>
    <t xml:space="preserve">Общеобразовательные учреждения </t>
  </si>
  <si>
    <t>Учреждения профессионального образования</t>
  </si>
  <si>
    <t>неприменимо*</t>
  </si>
  <si>
    <t>ДЮСШ (включая спортивные школы, школы олимпийского резерва и т.п.)</t>
  </si>
  <si>
    <t>П3-5</t>
  </si>
  <si>
    <t>сервисного обслуживания, культурно-досуговой и физкультурно-оздоровительной направленности</t>
  </si>
  <si>
    <t>Школы искусств (художественные, хореографические)</t>
  </si>
  <si>
    <t>Музыкальные школы</t>
  </si>
  <si>
    <t>Лечебные учреждения со стационаром, медицинские центры и т.д.</t>
  </si>
  <si>
    <t>П3-3</t>
  </si>
  <si>
    <t>поликлиник и лечебных учреждений с полуторасменным режимом работы</t>
  </si>
  <si>
    <t>Амбулаторно-поликлинические организации</t>
  </si>
  <si>
    <t>Аптеки, молочные кухни, ветеринарные аптеки</t>
  </si>
  <si>
    <t>Больницы, в т.ч. корпуса, отделения</t>
  </si>
  <si>
    <t>П3-4</t>
  </si>
  <si>
    <t>лечебных учреждений с круглосуточным режимом работы</t>
  </si>
  <si>
    <t>Фельдшерско-акушерские пункты</t>
  </si>
  <si>
    <t>нет оценки</t>
  </si>
  <si>
    <t>Типовые открытые спортивные сооружения</t>
  </si>
  <si>
    <t>Крытые спортивные сооружения</t>
  </si>
  <si>
    <t>Бассейны, водно-спортивные комплексы</t>
  </si>
  <si>
    <t>Библиотеки, читальные залы, медиатеки</t>
  </si>
  <si>
    <t>Музеи, выставки и т.п.</t>
  </si>
  <si>
    <t>Театры и кинотеатры</t>
  </si>
  <si>
    <t>Клубы</t>
  </si>
  <si>
    <t>Административные здания</t>
  </si>
  <si>
    <t>Собесы, биржи труда, центры занятости</t>
  </si>
  <si>
    <t>НИИ, проектные и конструкторские организации</t>
  </si>
  <si>
    <t>Нетиповое учреждение</t>
  </si>
  <si>
    <t>неприменимо</t>
  </si>
  <si>
    <t>Таблица П3-2. Корректировочные коэффициенты на этажность и режим работы зданий административного и общеобразовательного назначения</t>
  </si>
  <si>
    <t>Фактическая</t>
  </si>
  <si>
    <t>Наиболее распространенная этажность =1</t>
  </si>
  <si>
    <t>Наиболее распространенная этажность = 2</t>
  </si>
  <si>
    <t>Наиболее распространенная этажность = 3</t>
  </si>
  <si>
    <t>этажность здания</t>
  </si>
  <si>
    <t>режим - 1 смена</t>
  </si>
  <si>
    <t>режим - 1,5 смены</t>
  </si>
  <si>
    <t>1 смена</t>
  </si>
  <si>
    <t>1,5 смены</t>
  </si>
  <si>
    <t>Таблица П3-3.</t>
  </si>
  <si>
    <t>Корректировочные коэффициенты на этажность зданий поликлиник и лечебных учреждений с полуторасменным режимом работы</t>
  </si>
  <si>
    <t>Наиболее распространенная этажность</t>
  </si>
  <si>
    <t>Таблица П3-4.</t>
  </si>
  <si>
    <t>Корректировочные коэффициенты на этажность для зданий лечебных учреждений с круглосуточным режимом работы</t>
  </si>
  <si>
    <t>Таблица П3-5. Корректировочные коэффициенты на этажность и режим работы для зданий сервисного обслуживания, культурно-досуговой и физкультурно-оздоровительной направленности</t>
  </si>
  <si>
    <t>Расчетные (нормативные) температуры внутреннего воздуха в помещениях</t>
  </si>
  <si>
    <r>
      <rPr>
        <sz val="12"/>
        <color rgb="FF000000"/>
        <rFont val="Times New Roman"/>
        <charset val="204"/>
      </rPr>
      <t>t</t>
    </r>
    <r>
      <rPr>
        <vertAlign val="subscript"/>
        <sz val="12"/>
        <color rgb="FF000000"/>
        <rFont val="Times New Roman"/>
        <charset val="204"/>
      </rPr>
      <t>вн</t>
    </r>
    <r>
      <rPr>
        <sz val="12"/>
        <color rgb="FF000000"/>
        <rFont val="Times New Roman"/>
        <charset val="204"/>
      </rPr>
      <t>=20</t>
    </r>
    <r>
      <rPr>
        <vertAlign val="superscript"/>
        <sz val="12"/>
        <color rgb="FF000000"/>
        <rFont val="Times New Roman"/>
        <charset val="204"/>
      </rPr>
      <t>о</t>
    </r>
    <r>
      <rPr>
        <sz val="12"/>
        <color rgb="FF000000"/>
        <rFont val="Times New Roman"/>
        <charset val="204"/>
      </rPr>
      <t>С</t>
    </r>
  </si>
  <si>
    <r>
      <rPr>
        <sz val="12"/>
        <color rgb="FF000000"/>
        <rFont val="Times New Roman"/>
        <charset val="204"/>
      </rPr>
      <t>t</t>
    </r>
    <r>
      <rPr>
        <vertAlign val="subscript"/>
        <sz val="12"/>
        <color rgb="FF000000"/>
        <rFont val="Times New Roman"/>
        <charset val="204"/>
      </rPr>
      <t>вн</t>
    </r>
    <r>
      <rPr>
        <sz val="12"/>
        <color rgb="FF000000"/>
        <rFont val="Times New Roman"/>
        <charset val="204"/>
      </rPr>
      <t>=18</t>
    </r>
    <r>
      <rPr>
        <vertAlign val="superscript"/>
        <sz val="12"/>
        <color rgb="FF000000"/>
        <rFont val="Times New Roman"/>
        <charset val="204"/>
      </rPr>
      <t>о</t>
    </r>
    <r>
      <rPr>
        <sz val="12"/>
        <color rgb="FF000000"/>
        <rFont val="Times New Roman"/>
        <charset val="204"/>
      </rPr>
      <t>С</t>
    </r>
  </si>
  <si>
    <r>
      <rPr>
        <sz val="12"/>
        <color rgb="FF000000"/>
        <rFont val="Times New Roman"/>
        <charset val="204"/>
      </rPr>
      <t>t</t>
    </r>
    <r>
      <rPr>
        <vertAlign val="subscript"/>
        <sz val="12"/>
        <color rgb="FF000000"/>
        <rFont val="Times New Roman"/>
        <charset val="204"/>
      </rPr>
      <t>вн</t>
    </r>
    <r>
      <rPr>
        <sz val="12"/>
        <color rgb="FF000000"/>
        <rFont val="Times New Roman"/>
        <charset val="204"/>
      </rPr>
      <t>=13-17</t>
    </r>
    <r>
      <rPr>
        <vertAlign val="superscript"/>
        <sz val="12"/>
        <color rgb="FF000000"/>
        <rFont val="Times New Roman"/>
        <charset val="204"/>
      </rPr>
      <t>о</t>
    </r>
    <r>
      <rPr>
        <sz val="12"/>
        <color rgb="FF000000"/>
        <rFont val="Times New Roman"/>
        <charset val="204"/>
      </rPr>
      <t>С</t>
    </r>
  </si>
  <si>
    <t>Общие данные по зданию</t>
  </si>
  <si>
    <t>Перейти к результатам расчета потенциала и ЦУС</t>
  </si>
  <si>
    <t>ГО - здание или здание головной организации. Ф - здание филиала</t>
  </si>
  <si>
    <t>Наименование поля ввода</t>
  </si>
  <si>
    <t>Ввод</t>
  </si>
  <si>
    <t>Пояснение</t>
  </si>
  <si>
    <t>№ пункта Декларации для ГО/для Ф</t>
  </si>
  <si>
    <t>Раздел Декларации</t>
  </si>
  <si>
    <t>Базовый календарный год</t>
  </si>
  <si>
    <t>Введите базовый год</t>
  </si>
  <si>
    <t>Функционально-типологическая группа объектов</t>
  </si>
  <si>
    <t>Группа определяется на основании сравнения сведений из декларации о потреблении энергетических ресурсов и Приложения П1-1 Методических рекомендаций. Если тип здания, указанный в декларации, не соответствует ни одному из перечисленных в списке Приложения П1-1 учреждений, то выбирается тип «Нетиповое учреждение»</t>
  </si>
  <si>
    <t>3.2/5.2</t>
  </si>
  <si>
    <t>Сведения об объеме используемых ресурсов в зданиях, строениях , сооружениях</t>
  </si>
  <si>
    <t>Субъект Российской Федерации</t>
  </si>
  <si>
    <t>Краснодарский край</t>
  </si>
  <si>
    <t>Выберите субъект</t>
  </si>
  <si>
    <t>2/4</t>
  </si>
  <si>
    <t>Год ввода в эксплуатацию</t>
  </si>
  <si>
    <t>Впишите год ввода в эксплуатацию здания</t>
  </si>
  <si>
    <t>4.7/6.7</t>
  </si>
  <si>
    <t>Режим работы</t>
  </si>
  <si>
    <t>Выберите значение для зданий административного и общеобразовательного назначения: 
- 1 смена – 8 часов в сутки; 
- 1,5 смены – 11-12 часов в сутки. 
Для других типов зданий оставьте значение по умолчанию (1 смена). 
Для типов учреждений, предполагающих круглосуточный режим (больницы, стационары), форма автоматически применяет круглосуточный режим работы.</t>
  </si>
  <si>
    <t>-</t>
  </si>
  <si>
    <t>Этажность</t>
  </si>
  <si>
    <t>Без учета подвальных помещений</t>
  </si>
  <si>
    <t xml:space="preserve"> 4.2/6.2</t>
  </si>
  <si>
    <t>Общая площадь, м2</t>
  </si>
  <si>
    <t>Впишите общую площадь здания</t>
  </si>
  <si>
    <t xml:space="preserve"> 4.1/6.1</t>
  </si>
  <si>
    <t>Полезная площадь на начало календарного года, м2</t>
  </si>
  <si>
    <t>Впишите полезную площадь здания на начало календарного года (при расчете целевого уровня снижения за календарный принимается базовый год)</t>
  </si>
  <si>
    <t>нет</t>
  </si>
  <si>
    <t>Изменение полезной площади в календарном году, м2</t>
  </si>
  <si>
    <t>Впишите 0, если площадь не изменялась. 
В случае выбытия полезной площади впишите ее значение со знаком "минус"
(при расчете целевого уровня снижения за календарный принимается базовый год)</t>
  </si>
  <si>
    <t>Период эксплуатации увеличенной или выбывшей полезной площади, дней</t>
  </si>
  <si>
    <t>Если площадь не изменялесь, впишите 0.
Например, если площадь изменилась в середине года, значение составит 180 дней.</t>
  </si>
  <si>
    <t>Среднегодовая полезная площадь, м2</t>
  </si>
  <si>
    <t>Расчетная величина</t>
  </si>
  <si>
    <t>Число пользователей (работников и посетителей), чел</t>
  </si>
  <si>
    <t xml:space="preserve">Фактическая численность пользователей (работников и посетителей) здания в среднем за сутки в течение календарного года </t>
  </si>
  <si>
    <t>11/13</t>
  </si>
  <si>
    <t>Температура внутреннего воздуха (нормативная), ⁰С</t>
  </si>
  <si>
    <t>Определяется автоматически согласно Приложения П2-1 Методических рекомендаций</t>
  </si>
  <si>
    <t>Фактическая температура внутреннего воздуха в зданиив течение отопительного периода в среднем соответствует нормативному значению?</t>
  </si>
  <si>
    <t>да</t>
  </si>
  <si>
    <t>Выберите да или нет</t>
  </si>
  <si>
    <t>Расчет ГСОП</t>
  </si>
  <si>
    <t>определяется автоматически по Приложению 2 Методических рекомендаций</t>
  </si>
  <si>
    <t>Наличие бассейна</t>
  </si>
  <si>
    <t>Число дней работы бассейна в течение календарного года</t>
  </si>
  <si>
    <t>При наличии бассейна</t>
  </si>
  <si>
    <t>Доля пользователей бассейна от общей численности пользователей здания в течение года</t>
  </si>
  <si>
    <t xml:space="preserve">Величина от 0 до 100%, например, здание рассчитано на 500 пользователей, бассейн - на 250. </t>
  </si>
  <si>
    <t>УР - удельный расход</t>
  </si>
  <si>
    <t>Переходы на листы:</t>
  </si>
  <si>
    <t>Определение УР теплоэнергии на нужды отопления и вентиляции</t>
  </si>
  <si>
    <t>Определение УР электроэнергии</t>
  </si>
  <si>
    <t>Определение УР горячей воды</t>
  </si>
  <si>
    <t>Определение УР холодной воды</t>
  </si>
  <si>
    <t>Определение УР природного газа</t>
  </si>
  <si>
    <t>Определение УР твердого топлива</t>
  </si>
  <si>
    <t>Определение УР моторного топлива</t>
  </si>
  <si>
    <t>Проверка заполнения листа</t>
  </si>
  <si>
    <t>Квантили ранжированных групп объектов</t>
  </si>
  <si>
    <t>Электроэнергия</t>
  </si>
  <si>
    <t>Фактическое удельное годовое потребление</t>
  </si>
  <si>
    <t>Потенциал экономии</t>
  </si>
  <si>
    <t>Целевой уровень снижения удельного расхода ресурса</t>
  </si>
  <si>
    <t>кВт*ч / кв. м</t>
  </si>
  <si>
    <t>%</t>
  </si>
  <si>
    <t>0-2</t>
  </si>
  <si>
    <t>2-4</t>
  </si>
  <si>
    <t>4-6</t>
  </si>
  <si>
    <t>6-8</t>
  </si>
  <si>
    <t>8-10</t>
  </si>
  <si>
    <t>10-12</t>
  </si>
  <si>
    <t>12-14</t>
  </si>
  <si>
    <t>14-16</t>
  </si>
  <si>
    <t>16-18</t>
  </si>
  <si>
    <t>18-20</t>
  </si>
  <si>
    <t>20-22</t>
  </si>
  <si>
    <t>22-24</t>
  </si>
  <si>
    <t>24-26</t>
  </si>
  <si>
    <t>26-28</t>
  </si>
  <si>
    <t>28-30</t>
  </si>
  <si>
    <t>30-32</t>
  </si>
  <si>
    <t>32-34</t>
  </si>
  <si>
    <t>34-36</t>
  </si>
  <si>
    <t>36-38</t>
  </si>
  <si>
    <t>38-40</t>
  </si>
  <si>
    <t>40-42</t>
  </si>
  <si>
    <t>42-44</t>
  </si>
  <si>
    <t>44-46</t>
  </si>
  <si>
    <t>46-48</t>
  </si>
  <si>
    <t>48-50</t>
  </si>
  <si>
    <t>50-52</t>
  </si>
  <si>
    <t>52-54</t>
  </si>
  <si>
    <t>54-56</t>
  </si>
  <si>
    <t>56-58</t>
  </si>
  <si>
    <t>58-60</t>
  </si>
  <si>
    <t>60-62</t>
  </si>
  <si>
    <t>62-64</t>
  </si>
  <si>
    <t>64-66</t>
  </si>
  <si>
    <t>66-68</t>
  </si>
  <si>
    <t>68-70</t>
  </si>
  <si>
    <t>70-72</t>
  </si>
  <si>
    <t>72-74</t>
  </si>
  <si>
    <t>74-76</t>
  </si>
  <si>
    <t>76-78</t>
  </si>
  <si>
    <t>78-80</t>
  </si>
  <si>
    <t>80-82</t>
  </si>
  <si>
    <t>82-84</t>
  </si>
  <si>
    <t>84-86</t>
  </si>
  <si>
    <t>86-88</t>
  </si>
  <si>
    <t>88-90</t>
  </si>
  <si>
    <t>90-92</t>
  </si>
  <si>
    <t>92-94</t>
  </si>
  <si>
    <t>94-96</t>
  </si>
  <si>
    <t>96-98</t>
  </si>
  <si>
    <t>98-100</t>
  </si>
  <si>
    <t>&gt;235,6</t>
  </si>
  <si>
    <t xml:space="preserve">Базовый уровень удельного показателя </t>
  </si>
  <si>
    <t>Среднее значение удельного показателя</t>
  </si>
  <si>
    <t>Значение удельного показателя для класса энергоэффективности А</t>
  </si>
  <si>
    <t>+-10% Среднее</t>
  </si>
  <si>
    <t>+-20% Среднее</t>
  </si>
  <si>
    <t>+-30% Среднее</t>
  </si>
  <si>
    <t>Тепловая энергия (отопление и вентиляции)</t>
  </si>
  <si>
    <t>Вт*ч/(кв. м*ГСОП)</t>
  </si>
  <si>
    <t>&gt;161,1</t>
  </si>
  <si>
    <t xml:space="preserve"> </t>
  </si>
  <si>
    <t>Базовый уровень удельного показателя</t>
  </si>
  <si>
    <t>Холодная вода</t>
  </si>
  <si>
    <t>куб. м / чел.</t>
  </si>
  <si>
    <t>&gt;40,46</t>
  </si>
  <si>
    <t>Удельный расход тепловой энергии на нужды отопления и вентиляции</t>
  </si>
  <si>
    <t>Подключение здания к централизованному теплоснабжению</t>
  </si>
  <si>
    <t>5.3/7.3</t>
  </si>
  <si>
    <t xml:space="preserve">Наличие прибора коммерческого учета тепловой энергии </t>
  </si>
  <si>
    <t>есть</t>
  </si>
  <si>
    <t xml:space="preserve"> 8.2/10.2</t>
  </si>
  <si>
    <t>Способ учета потребления тепловой энергии (ТЭ)</t>
  </si>
  <si>
    <t>Раздельный</t>
  </si>
  <si>
    <t>Совместный - при учете потребления теплоэнергии на отопление и вентиляцию вместе с ГВС</t>
  </si>
  <si>
    <t>Потребление тепловой энергии на нужды отопления и вентиляции, Гкал</t>
  </si>
  <si>
    <t>При раздельном учете. Без учета выработки на теплонасосной установке и ВИЭ (возобновляемыми источниками энергии)</t>
  </si>
  <si>
    <t xml:space="preserve"> 12.1/14.1</t>
  </si>
  <si>
    <t>Потребление тепловой энергии на нужды отопления и вентиляции и горячего водоснабжения (ГВС), Гкал</t>
  </si>
  <si>
    <t>При совместном учете. Без учета выработки на теплонасосной установке и ВИЭ (возобновляемыми источниками энергии)</t>
  </si>
  <si>
    <t>Расчет с коррекцией на потребление ГВС при совместном учете, Гкал</t>
  </si>
  <si>
    <t>расчетная величина</t>
  </si>
  <si>
    <t>Удельный расход горячей воды</t>
  </si>
  <si>
    <t>Наличие централизованной подачи ГВС от ЦТП</t>
  </si>
  <si>
    <t>5.4/7.4</t>
  </si>
  <si>
    <t>Наличие прибора коммерческого учета горячей воды</t>
  </si>
  <si>
    <t xml:space="preserve"> 8.4/10.4</t>
  </si>
  <si>
    <t>Потребление горячей воды, м3</t>
  </si>
  <si>
    <t xml:space="preserve"> 12.3/14.3</t>
  </si>
  <si>
    <t>При наличии в здании бассейна:</t>
  </si>
  <si>
    <t>суточный норматив потребления горячей воды на одного пользователя бассейном, куб. м/чел</t>
  </si>
  <si>
    <t>Рекомендуемое значение, можно уточнить в соответствии с технической документацией по данному бассейну</t>
  </si>
  <si>
    <t>На листе "1.Общие данные по зданию" обязательно должно быть выбрано значение да/нет в ячейке "Наличие бассейна". Если выбрано "да", то должны быть заполнены ячейки В21, В22, относящиеся к бассейну</t>
  </si>
  <si>
    <t>Удельный расход холодной воды</t>
  </si>
  <si>
    <t>Наличие централизованной подачи ХВС</t>
  </si>
  <si>
    <t>Наличие прибора коммерческого учета холодной воды</t>
  </si>
  <si>
    <t xml:space="preserve"> 8.3/10.3</t>
  </si>
  <si>
    <t>Потребление холодной воды, м3</t>
  </si>
  <si>
    <t>Если централизованная подача горячей воды отсутствует и горячая вода оплачивается по двухкомпонентному тарифу, то холодная вода на горячее водоснабжение из п. 12.3 декларации должна суммироваться с прочей холодной водой из того же пункта. Полученная сумма должна проставляться в ячейку C6 листа «4.УР холодной воды»</t>
  </si>
  <si>
    <t>Удельный расход электрической энергии</t>
  </si>
  <si>
    <t>Наличие прибора коммерческого учета электрической энергии</t>
  </si>
  <si>
    <t xml:space="preserve"> 8.1/10.1</t>
  </si>
  <si>
    <t>Потребление электрической энергии, кВтч</t>
  </si>
  <si>
    <t>При наличии, потребление электрической энергии теплонасосной установкой в календарном году, кВтч</t>
  </si>
  <si>
    <t>Указывается при наличии теплонасосной установки</t>
  </si>
  <si>
    <t>Наличие лифтов в здании</t>
  </si>
  <si>
    <t>4.3/6.3</t>
  </si>
  <si>
    <t>Лифты (при наличии, отдельно для каждого)</t>
  </si>
  <si>
    <t>Грузоподъемность</t>
  </si>
  <si>
    <t>Число дней работы в году*</t>
  </si>
  <si>
    <t xml:space="preserve"> 4.3</t>
  </si>
  <si>
    <t>*При отсутствии точных данных, число дней работы в году принимается как число дней работы учреждения в году</t>
  </si>
  <si>
    <t>Оценка удельного годового расхода электроэнергии лифтами (ф.12 Методики), кВтч/м2</t>
  </si>
  <si>
    <t>Удельный расход природного газа для целей приготовления пищи</t>
  </si>
  <si>
    <t>Наличие централизованного газоснабжения на цели приготовления  пищи</t>
  </si>
  <si>
    <t>5.2/7.2</t>
  </si>
  <si>
    <t>Наличие прибора коммерческого учета газа</t>
  </si>
  <si>
    <t xml:space="preserve"> 8.5/10.5</t>
  </si>
  <si>
    <t>Наличие на объекте газовых котлов (нагревателей), вырабатывающих тепловую энергию на нужды отопления и ГВС</t>
  </si>
  <si>
    <t>6/8</t>
  </si>
  <si>
    <t>Потребление природного газа, м3</t>
  </si>
  <si>
    <t>Учитывается только потребление газа зданием для приготовления пищи, без учета потребления газа на выработку любых других видов энергии</t>
  </si>
  <si>
    <t>Включает ли объем потребления, показанный выше, потребление газовыми котлами?</t>
  </si>
  <si>
    <t>Удельный расход топлива для целей отопления и вентиляции</t>
  </si>
  <si>
    <t>Указать, используется ли в здании топливо для выработки тепловой энергии на нужды отопления и вентиляции?</t>
  </si>
  <si>
    <t>8.2/5.2</t>
  </si>
  <si>
    <t>Общие сведения об объеме используемых ресурсов</t>
  </si>
  <si>
    <t>Потребление топлива, тут</t>
  </si>
  <si>
    <t>вводите, если есть данные о суммарном потреблении в т.у.т.</t>
  </si>
  <si>
    <t xml:space="preserve"> 12.1</t>
  </si>
  <si>
    <t>Потребление твердого топлива для выработки тепловой энергии на нужды отопления и вентиляции</t>
  </si>
  <si>
    <t>Вид топлива</t>
  </si>
  <si>
    <t>Ед.изм.</t>
  </si>
  <si>
    <t>Объем потребления</t>
  </si>
  <si>
    <t>№ пункта Декларации</t>
  </si>
  <si>
    <t>Пересчет на тонны условного топлива</t>
  </si>
  <si>
    <t>Уголь каменный</t>
  </si>
  <si>
    <t>тонн</t>
  </si>
  <si>
    <t>12.2/14.2</t>
  </si>
  <si>
    <t>Уголь бурый</t>
  </si>
  <si>
    <t>Сланцы горючие</t>
  </si>
  <si>
    <t>Торф топливный</t>
  </si>
  <si>
    <t>Дрова для отопления</t>
  </si>
  <si>
    <r>
      <rPr>
        <sz val="11"/>
        <color rgb="FF000000"/>
        <rFont val="Stem"/>
        <charset val="134"/>
      </rPr>
      <t>м</t>
    </r>
    <r>
      <rPr>
        <vertAlign val="superscript"/>
        <sz val="11"/>
        <color rgb="FF000000"/>
        <rFont val="Stem"/>
        <charset val="134"/>
      </rPr>
      <t>3</t>
    </r>
    <r>
      <rPr>
        <sz val="11"/>
        <color rgb="FF000000"/>
        <rFont val="Stem"/>
        <charset val="134"/>
      </rPr>
      <t xml:space="preserve"> (плотн.)</t>
    </r>
  </si>
  <si>
    <t>Кокс металлургический</t>
  </si>
  <si>
    <t>Брикеты угольные</t>
  </si>
  <si>
    <t>Брикеты и п/брикеты торфяные</t>
  </si>
  <si>
    <t>Сумма</t>
  </si>
  <si>
    <t>тут</t>
  </si>
  <si>
    <t>Используется ли в здании иной вид энергетических ресурсов для выработки тепловой энергии на нужды отопления и вентиляции?</t>
  </si>
  <si>
    <t xml:space="preserve">Иной вид топлива для выработки тепловой энергии на нужды отопления и вентиляции </t>
  </si>
  <si>
    <t>Введите объем потреблением иного вида топлива в тут</t>
  </si>
  <si>
    <t>Проверка заполнения листа (твердое топливо)</t>
  </si>
  <si>
    <t>Проверка заполнения листа (иное топливо)</t>
  </si>
  <si>
    <t>Удельный расход моторного топлива</t>
  </si>
  <si>
    <t>Наличие в бюджетном учреждении собственных транспортных средств</t>
  </si>
  <si>
    <t>7.1/4.1</t>
  </si>
  <si>
    <t>Потребление топлива транспортом по видам</t>
  </si>
  <si>
    <t xml:space="preserve">Сжиженный углеводородный газ (пропан - бутан) </t>
  </si>
  <si>
    <t>7.3/4.3</t>
  </si>
  <si>
    <t>Компримированный (сжатый) природный газ</t>
  </si>
  <si>
    <t>куб.м.</t>
  </si>
  <si>
    <t>Сжиженный природный газ</t>
  </si>
  <si>
    <t>Дизельное топливо</t>
  </si>
  <si>
    <t>Топливо моторное</t>
  </si>
  <si>
    <t>кВтч</t>
  </si>
  <si>
    <t>Бензин</t>
  </si>
  <si>
    <t>Ввод параметров используемых организацией транспортных средств  для определения удельного расхода</t>
  </si>
  <si>
    <t>Пояснение: вводите отдельно по каждому пассажирскому и грузовому ТС</t>
  </si>
  <si>
    <t>Легковые автомобили и автобусы</t>
  </si>
  <si>
    <t>Грузовые автомобили</t>
  </si>
  <si>
    <t>Транспортное средство №</t>
  </si>
  <si>
    <t>Годовой пробег, км</t>
  </si>
  <si>
    <t>Паспортный расход топлива (смешанный цикл), л/100</t>
  </si>
  <si>
    <t>&gt;167,88</t>
  </si>
  <si>
    <t>&gt;147,1</t>
  </si>
  <si>
    <t>Горячая вода</t>
  </si>
  <si>
    <t>&gt;42,9</t>
  </si>
  <si>
    <t>&gt;34,93</t>
  </si>
  <si>
    <t>&gt;225,01</t>
  </si>
  <si>
    <t>&gt;176,8</t>
  </si>
  <si>
    <t>&gt;1,79</t>
  </si>
  <si>
    <t>&gt;9,38</t>
  </si>
  <si>
    <t>&gt;90,93</t>
  </si>
  <si>
    <t>&gt;140,2</t>
  </si>
  <si>
    <t>&gt;4,83</t>
  </si>
  <si>
    <t>&gt;81,4</t>
  </si>
  <si>
    <t>&gt;21,07</t>
  </si>
  <si>
    <t>&gt;238,3</t>
  </si>
  <si>
    <t>&gt;137,5</t>
  </si>
  <si>
    <t>&gt;</t>
  </si>
  <si>
    <t>&gt;18,39</t>
  </si>
  <si>
    <t>Природный газ</t>
  </si>
  <si>
    <t>куб. м / кв. м</t>
  </si>
  <si>
    <t>Вт*ч/(кв.*ГСОП)</t>
  </si>
  <si>
    <t>Жидкое топливо</t>
  </si>
  <si>
    <t>кгут / кв. м</t>
  </si>
  <si>
    <t>&gt;437,6</t>
  </si>
  <si>
    <t>&gt;209,8</t>
  </si>
  <si>
    <t>&gt;14,8</t>
  </si>
  <si>
    <t>&gt;554,38</t>
  </si>
  <si>
    <t>&gt;269,98</t>
  </si>
  <si>
    <t>&gt;146,6</t>
  </si>
  <si>
    <t>&gt;1391,35</t>
  </si>
  <si>
    <t>&gt;461,2</t>
  </si>
  <si>
    <t>&gt;129,3</t>
  </si>
  <si>
    <t>&gt;619,1</t>
  </si>
  <si>
    <t>&gt;138,2</t>
  </si>
  <si>
    <t>&gt;820</t>
  </si>
  <si>
    <t>&gt;375</t>
  </si>
  <si>
    <t>&gt;96</t>
  </si>
  <si>
    <t>&gt;223,8</t>
  </si>
  <si>
    <t>&gt;345</t>
  </si>
  <si>
    <t>&gt;263,8</t>
  </si>
  <si>
    <t>&gt;25,43</t>
  </si>
  <si>
    <t>&gt;36,27</t>
  </si>
  <si>
    <t>&gt;382,82</t>
  </si>
  <si>
    <t>&gt;251,78</t>
  </si>
  <si>
    <t>&gt;482,865</t>
  </si>
  <si>
    <t>&gt;303,2</t>
  </si>
  <si>
    <t>&gt;185,4</t>
  </si>
  <si>
    <t>&gt;7,286</t>
  </si>
  <si>
    <t>&gt;44,69</t>
  </si>
  <si>
    <t>&gt;136,1</t>
  </si>
  <si>
    <t>&gt;572,2</t>
  </si>
  <si>
    <t>&gt;366</t>
  </si>
  <si>
    <t>&gt;134,3</t>
  </si>
  <si>
    <t>&gt;66,8</t>
  </si>
  <si>
    <t>&gt;103,6</t>
  </si>
  <si>
    <t>&gt;926,9</t>
  </si>
  <si>
    <t>+-10%</t>
  </si>
  <si>
    <t>+-20%</t>
  </si>
  <si>
    <t>&gt;106,5</t>
  </si>
  <si>
    <t>&gt;159,8</t>
  </si>
  <si>
    <t>&gt;36,45</t>
  </si>
  <si>
    <t>&gt;65,5</t>
  </si>
  <si>
    <t>Вт*ч/(кв.м*ГСОП)</t>
  </si>
  <si>
    <t>Моторное топливо</t>
  </si>
  <si>
    <t>кгут/кв.м</t>
  </si>
  <si>
    <t>&gt;642,8</t>
  </si>
  <si>
    <t>&gt;299,2</t>
  </si>
  <si>
    <t>&gt;37,81</t>
  </si>
  <si>
    <t>&gt;175,0</t>
  </si>
  <si>
    <t>&gt;296,6</t>
  </si>
  <si>
    <t>&gt;1208,0</t>
  </si>
  <si>
    <t>&gt;2383,1</t>
  </si>
  <si>
    <t>&gt;314,8</t>
  </si>
  <si>
    <t>&gt;222,1</t>
  </si>
  <si>
    <t>&gt;151,6</t>
  </si>
  <si>
    <t>&gt;281,8</t>
  </si>
  <si>
    <t>&gt;224,5</t>
  </si>
  <si>
    <t>&gt;30,38</t>
  </si>
  <si>
    <t>&gt;45,3</t>
  </si>
  <si>
    <t>&gt;85,6</t>
  </si>
  <si>
    <t>&gt;374,2</t>
  </si>
  <si>
    <t>&gt;41,8</t>
  </si>
  <si>
    <t>&gt;8,69</t>
  </si>
  <si>
    <t>&gt;16,22</t>
  </si>
  <si>
    <t>&gt;82,01</t>
  </si>
  <si>
    <t>&gt;347,3</t>
  </si>
  <si>
    <t>&gt;201,2</t>
  </si>
  <si>
    <t>&gt;124,2</t>
  </si>
  <si>
    <t>&gt;23,08</t>
  </si>
  <si>
    <t>&gt;106,1</t>
  </si>
  <si>
    <t>&gt;115,3</t>
  </si>
  <si>
    <t>&gt;8,40</t>
  </si>
  <si>
    <t>&gt;11,63</t>
  </si>
  <si>
    <t>Таблица П2-2. Градусо-сутки отопительного периода за 2019 г. для субъектов Российской Федерации  (°С×сутки)</t>
  </si>
  <si>
    <r>
      <rPr>
        <b/>
        <sz val="12"/>
        <color rgb="FF000000"/>
        <rFont val="Times New Roman"/>
        <charset val="204"/>
      </rPr>
      <t>при температуре воздуха внутри помещений (в соответствии с</t>
    </r>
    <r>
      <rPr>
        <sz val="12"/>
        <color rgb="FF000000"/>
        <rFont val="Times New Roman"/>
        <charset val="204"/>
      </rPr>
      <t xml:space="preserve"> </t>
    </r>
    <r>
      <rPr>
        <b/>
        <sz val="12"/>
        <color rgb="FF000000"/>
        <rFont val="Times New Roman"/>
        <charset val="204"/>
      </rPr>
      <t xml:space="preserve">Таблицей П2-1) </t>
    </r>
  </si>
  <si>
    <r>
      <rPr>
        <sz val="12"/>
        <color rgb="FF000000"/>
        <rFont val="Times New Roman"/>
        <charset val="204"/>
      </rPr>
      <t>18</t>
    </r>
    <r>
      <rPr>
        <vertAlign val="superscript"/>
        <sz val="12"/>
        <color rgb="FF000000"/>
        <rFont val="Times New Roman"/>
        <charset val="204"/>
      </rPr>
      <t>о</t>
    </r>
    <r>
      <rPr>
        <sz val="12"/>
        <color rgb="FF000000"/>
        <rFont val="Times New Roman"/>
        <charset val="204"/>
      </rPr>
      <t>С</t>
    </r>
  </si>
  <si>
    <r>
      <rPr>
        <sz val="12"/>
        <color rgb="FF000000"/>
        <rFont val="Times New Roman"/>
        <charset val="204"/>
      </rPr>
      <t>20</t>
    </r>
    <r>
      <rPr>
        <vertAlign val="superscript"/>
        <sz val="12"/>
        <color rgb="FF000000"/>
        <rFont val="Times New Roman"/>
        <charset val="204"/>
      </rPr>
      <t>о</t>
    </r>
    <r>
      <rPr>
        <sz val="12"/>
        <color rgb="FF000000"/>
        <rFont val="Times New Roman"/>
        <charset val="204"/>
      </rPr>
      <t>С</t>
    </r>
  </si>
  <si>
    <r>
      <rPr>
        <sz val="12"/>
        <color rgb="FF000000"/>
        <rFont val="Times New Roman"/>
        <charset val="204"/>
      </rPr>
      <t>21</t>
    </r>
    <r>
      <rPr>
        <vertAlign val="superscript"/>
        <sz val="12"/>
        <color rgb="FF000000"/>
        <rFont val="Times New Roman"/>
        <charset val="204"/>
      </rPr>
      <t>о</t>
    </r>
    <r>
      <rPr>
        <sz val="12"/>
        <color rgb="FF000000"/>
        <rFont val="Times New Roman"/>
        <charset val="204"/>
      </rPr>
      <t>С</t>
    </r>
  </si>
  <si>
    <r>
      <rPr>
        <sz val="12"/>
        <color rgb="FF000000"/>
        <rFont val="Times New Roman"/>
        <charset val="204"/>
      </rPr>
      <t>24</t>
    </r>
    <r>
      <rPr>
        <vertAlign val="superscript"/>
        <sz val="12"/>
        <color rgb="FF000000"/>
        <rFont val="Times New Roman"/>
        <charset val="204"/>
      </rPr>
      <t>о</t>
    </r>
    <r>
      <rPr>
        <sz val="12"/>
        <color rgb="FF000000"/>
        <rFont val="Times New Roman"/>
        <charset val="204"/>
      </rPr>
      <t>С</t>
    </r>
  </si>
  <si>
    <t>Республика Адыгея (Адыгея)</t>
  </si>
  <si>
    <t>Республика Башкортостан</t>
  </si>
  <si>
    <t>Республика Бурятия</t>
  </si>
  <si>
    <t>Республика Алтай</t>
  </si>
  <si>
    <t>Республика Дагестан</t>
  </si>
  <si>
    <t>Республика Ингушетия</t>
  </si>
  <si>
    <t>Кабардино-Балкарская Республика</t>
  </si>
  <si>
    <t>Республика Калмыкия</t>
  </si>
  <si>
    <t>Карачаево-Черкесская Республика</t>
  </si>
  <si>
    <t>Республика Карелия</t>
  </si>
  <si>
    <t>Республика Коми</t>
  </si>
  <si>
    <t>Республика Марий Эл</t>
  </si>
  <si>
    <t>Республика Мордовия</t>
  </si>
  <si>
    <t>Республика Саха (Якутия) (зона 1 – Якутск)</t>
  </si>
  <si>
    <t>Республика Саха (Якутия) (зона 2 - Жиганск)</t>
  </si>
  <si>
    <t>Республика Саха (Якутия) (зона 3 – Тикси)</t>
  </si>
  <si>
    <t>Республика Северная Осетия - Алания</t>
  </si>
  <si>
    <t>Республика Татарстан</t>
  </si>
  <si>
    <t>Республика Тыва</t>
  </si>
  <si>
    <t>Удмуртская Республика</t>
  </si>
  <si>
    <t>Республика Хакасия</t>
  </si>
  <si>
    <t>Чеченская Республика</t>
  </si>
  <si>
    <t>Чувашская Республика - Чувашия</t>
  </si>
  <si>
    <t>Алтайский край</t>
  </si>
  <si>
    <t>Красноярский край (зона 1 - Красноярск)</t>
  </si>
  <si>
    <t>Красноярский край (зона 2 – Тура)</t>
  </si>
  <si>
    <t>Красноярский край (зона 3 – Норильск)</t>
  </si>
  <si>
    <t>Приморский край</t>
  </si>
  <si>
    <t>Ставропольский край</t>
  </si>
  <si>
    <t>Хабаровский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</si>
  <si>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</si>
  <si>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</si>
  <si>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</si>
  <si>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</si>
  <si>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</si>
  <si>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</si>
  <si>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</si>
  <si>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</si>
  <si>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</si>
  <si>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</si>
  <si>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</si>
  <si>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</si>
  <si>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</si>
  <si>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</si>
  <si>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>Кемеровская область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</si>
  <si>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</si>
  <si>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</si>
  <si>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</si>
  <si>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</si>
  <si>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</si>
  <si>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</si>
  <si>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</si>
  <si>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</si>
  <si>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</si>
  <si>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</si>
  <si>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</si>
  <si>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</si>
  <si>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</si>
  <si>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</si>
  <si>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</si>
  <si>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</si>
  <si>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</si>
  <si>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</si>
  <si>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</si>
  <si>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</si>
  <si>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</si>
  <si>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</si>
  <si>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</si>
  <si>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</si>
  <si>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</si>
  <si>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</si>
  <si>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</si>
  <si>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</si>
  <si>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</si>
  <si>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 (без ХМАО и ЯНАО)</t>
  </si>
  <si>
    <t>Ульяновская область</t>
  </si>
  <si>
    <t>Челябинская область</t>
  </si>
  <si>
    <t>Забайкальский край</t>
  </si>
  <si>
    <t>Ярославская область</t>
  </si>
  <si>
    <t>г. Москва</t>
  </si>
  <si>
    <t>г. Санкт-Петербург</t>
  </si>
  <si>
    <t>Еврейская автономная область</t>
  </si>
  <si>
    <t>Ненецкий автономный округ</t>
  </si>
  <si>
    <t>Ханты-Мансийский автономный округ - Югра</t>
  </si>
  <si>
    <t>Чукотский автономный округ</t>
  </si>
  <si>
    <t>Ямало-Ненецкий автономный округ</t>
  </si>
  <si>
    <t>Республика Крым</t>
  </si>
  <si>
    <t>г. Севастополь</t>
  </si>
  <si>
    <t>Таблица П2-2. Градусо-сутки отопительного периода за 2020 г. для субъектов Российской Федерации  (°С×сутки)</t>
  </si>
  <si>
    <t>Таблица . Градусо-сутки отопительного периода за 2021 г. для субъектов Российской Федерации  (°С×сутки)</t>
  </si>
  <si>
    <t>Таблица . Градусо-сутки отопительного периода за 2022 г. для субъектов Российской Федерации  (°С×сутки)</t>
  </si>
  <si>
    <t>Таблица . Градусо-сутки отопительного периода за 2023 г. для субъектов Российской Федерации  (°С×сутки)</t>
  </si>
  <si>
    <t>Таблица . Градусо-сутки отопительного периода за 2024 г. для субъектов Российской Федерации  (°С×сутки)</t>
  </si>
  <si>
    <t>Донецкая Народная Республика</t>
  </si>
  <si>
    <t>Луганская Народная Республика</t>
  </si>
  <si>
    <t>Херсонская область</t>
  </si>
  <si>
    <t>Запорожская область</t>
  </si>
  <si>
    <t>Таблица . Градусо-сутки отопительного периода за 2025 г. для субъектов Российской Федерации  (°С×сутки)</t>
  </si>
  <si>
    <t>Регионы</t>
  </si>
  <si>
    <t>Регион</t>
  </si>
  <si>
    <t>Город</t>
  </si>
  <si>
    <t>Алейск</t>
  </si>
  <si>
    <t>Совместный</t>
  </si>
  <si>
    <t>Барнаул</t>
  </si>
  <si>
    <t>Бийск-Зональная</t>
  </si>
  <si>
    <t>Змеиногорск</t>
  </si>
  <si>
    <t>Укажите наличие…</t>
  </si>
  <si>
    <t>Родино</t>
  </si>
  <si>
    <t>Рубцовск</t>
  </si>
  <si>
    <t>Славгород</t>
  </si>
  <si>
    <t>Тогул</t>
  </si>
  <si>
    <t>Архара</t>
  </si>
  <si>
    <t>Белогорск</t>
  </si>
  <si>
    <t>Благовещенск</t>
  </si>
  <si>
    <t>Бомнак</t>
  </si>
  <si>
    <t>Братолюбовка</t>
  </si>
  <si>
    <t>Бысса</t>
  </si>
  <si>
    <t>Гош</t>
  </si>
  <si>
    <t>Дамбуки</t>
  </si>
  <si>
    <t>Ерофей Павлович</t>
  </si>
  <si>
    <t>Завитинск</t>
  </si>
  <si>
    <t>Зея</t>
  </si>
  <si>
    <t>Норский Склад</t>
  </si>
  <si>
    <t>Огорон</t>
  </si>
  <si>
    <t>Поярково</t>
  </si>
  <si>
    <t>Красноярский край</t>
  </si>
  <si>
    <t>Свободный</t>
  </si>
  <si>
    <t>Сковородино</t>
  </si>
  <si>
    <t>Средняя Нюкжа</t>
  </si>
  <si>
    <t>Тыган-Уркан</t>
  </si>
  <si>
    <t>Тында</t>
  </si>
  <si>
    <t>Унаха</t>
  </si>
  <si>
    <t>Москва г.</t>
  </si>
  <si>
    <t>Усть-Нюкжа</t>
  </si>
  <si>
    <t>Черняево</t>
  </si>
  <si>
    <t>Шимановск</t>
  </si>
  <si>
    <t>Ненецкий АО (Архангельская область)</t>
  </si>
  <si>
    <t>Экимчан</t>
  </si>
  <si>
    <t>Архангельск</t>
  </si>
  <si>
    <t>Борковская</t>
  </si>
  <si>
    <t>Емецк</t>
  </si>
  <si>
    <t>Койнас</t>
  </si>
  <si>
    <t>Котлас</t>
  </si>
  <si>
    <t>Мезень</t>
  </si>
  <si>
    <t>Онега</t>
  </si>
  <si>
    <t>Астрахань</t>
  </si>
  <si>
    <t>Верхний Баскунчак</t>
  </si>
  <si>
    <t>Белгород</t>
  </si>
  <si>
    <t>Республика Адыгея</t>
  </si>
  <si>
    <t>Брянск</t>
  </si>
  <si>
    <t>республика Алтай</t>
  </si>
  <si>
    <t>Владимир</t>
  </si>
  <si>
    <t>Муром</t>
  </si>
  <si>
    <t>Волгоград</t>
  </si>
  <si>
    <t>Камышин</t>
  </si>
  <si>
    <t>Костычевка</t>
  </si>
  <si>
    <t>Кабардино-Балкарская республика</t>
  </si>
  <si>
    <t>Котельниково</t>
  </si>
  <si>
    <t>Новоаннинский</t>
  </si>
  <si>
    <t>Эльтон</t>
  </si>
  <si>
    <t>Бабаево</t>
  </si>
  <si>
    <t>Вологда</t>
  </si>
  <si>
    <t>Вытегра</t>
  </si>
  <si>
    <t>Республика Саха (Якутия)</t>
  </si>
  <si>
    <t>Никольск</t>
  </si>
  <si>
    <t>Республика Северная Осетия</t>
  </si>
  <si>
    <t>Тотьма</t>
  </si>
  <si>
    <t>Воронеж</t>
  </si>
  <si>
    <t>Биробиджан</t>
  </si>
  <si>
    <t>Облучье</t>
  </si>
  <si>
    <t>Агинское</t>
  </si>
  <si>
    <t>Акша</t>
  </si>
  <si>
    <t>Александровский Завод</t>
  </si>
  <si>
    <t>Санкт-Петербург г.</t>
  </si>
  <si>
    <t>Борзя</t>
  </si>
  <si>
    <t>Дарасун</t>
  </si>
  <si>
    <t>Калакан</t>
  </si>
  <si>
    <t>Красный Чикой</t>
  </si>
  <si>
    <t>Могоча</t>
  </si>
  <si>
    <t>Нерчинск</t>
  </si>
  <si>
    <t>Нерчинский Завод</t>
  </si>
  <si>
    <t>Средний Калар</t>
  </si>
  <si>
    <t>Тунгокочен</t>
  </si>
  <si>
    <t>Тупик</t>
  </si>
  <si>
    <t>Тюменская область</t>
  </si>
  <si>
    <t>Чара</t>
  </si>
  <si>
    <t>Чита</t>
  </si>
  <si>
    <t>Иваново</t>
  </si>
  <si>
    <t>Кинешма</t>
  </si>
  <si>
    <t>Ханты-Мансийский АО</t>
  </si>
  <si>
    <t>Алыгджер</t>
  </si>
  <si>
    <t>Бодайбо</t>
  </si>
  <si>
    <t>Братск</t>
  </si>
  <si>
    <t xml:space="preserve">Чувашская Республика </t>
  </si>
  <si>
    <t>Верхняя Гутара</t>
  </si>
  <si>
    <t>Чукотский АО</t>
  </si>
  <si>
    <t>Дубровское</t>
  </si>
  <si>
    <t>Ямало-Ненецкий АО</t>
  </si>
  <si>
    <t>Ербогачен</t>
  </si>
  <si>
    <t>Жигалово</t>
  </si>
  <si>
    <t>Зима</t>
  </si>
  <si>
    <t>Севастополь г.</t>
  </si>
  <si>
    <t>Ика</t>
  </si>
  <si>
    <t>Илимск</t>
  </si>
  <si>
    <t>Иркутск</t>
  </si>
  <si>
    <t>Ичера</t>
  </si>
  <si>
    <t>Киренск</t>
  </si>
  <si>
    <t>Мама</t>
  </si>
  <si>
    <t>Марково</t>
  </si>
  <si>
    <t>Наканно</t>
  </si>
  <si>
    <t>Невон</t>
  </si>
  <si>
    <t>Непа</t>
  </si>
  <si>
    <t>Орлинга</t>
  </si>
  <si>
    <t>Перевоз</t>
  </si>
  <si>
    <t>Преображенка</t>
  </si>
  <si>
    <t>Саянск</t>
  </si>
  <si>
    <t>Слюдянка</t>
  </si>
  <si>
    <t>Тайшет</t>
  </si>
  <si>
    <t>Тулун</t>
  </si>
  <si>
    <t>Усть-Ордынский</t>
  </si>
  <si>
    <t>Нальчик</t>
  </si>
  <si>
    <t>Калининград</t>
  </si>
  <si>
    <t>Калуга</t>
  </si>
  <si>
    <t>Апука</t>
  </si>
  <si>
    <t>Ича</t>
  </si>
  <si>
    <t>Ключи</t>
  </si>
  <si>
    <t>Козыревск</t>
  </si>
  <si>
    <t xml:space="preserve">Корф </t>
  </si>
  <si>
    <t>Кроноки</t>
  </si>
  <si>
    <t>Лопатка, мыс</t>
  </si>
  <si>
    <t>Мильково</t>
  </si>
  <si>
    <t>Начики</t>
  </si>
  <si>
    <t>о.Беринга</t>
  </si>
  <si>
    <t>Октябрьская</t>
  </si>
  <si>
    <t xml:space="preserve">Оссора </t>
  </si>
  <si>
    <t>Петропавловск- Камчатский</t>
  </si>
  <si>
    <t>Семлячики</t>
  </si>
  <si>
    <t>Соболево</t>
  </si>
  <si>
    <t>Ука</t>
  </si>
  <si>
    <t xml:space="preserve">Усть- Воямполка </t>
  </si>
  <si>
    <t>Усть- Хайрюзово</t>
  </si>
  <si>
    <t>Усть-Камчатск</t>
  </si>
  <si>
    <t>Черкесск</t>
  </si>
  <si>
    <t>Кемерово</t>
  </si>
  <si>
    <t>Киселевск</t>
  </si>
  <si>
    <t>Кондома</t>
  </si>
  <si>
    <t>Мариинск</t>
  </si>
  <si>
    <t>Тайга</t>
  </si>
  <si>
    <t>Тисуль</t>
  </si>
  <si>
    <t>Топки</t>
  </si>
  <si>
    <t>Усть-Кабырза</t>
  </si>
  <si>
    <t>Киров</t>
  </si>
  <si>
    <t>Нагорское</t>
  </si>
  <si>
    <t>Савали</t>
  </si>
  <si>
    <t>Кострома</t>
  </si>
  <si>
    <t>Чухлома</t>
  </si>
  <si>
    <t>Шарья</t>
  </si>
  <si>
    <t>Красная Поляна</t>
  </si>
  <si>
    <t>Краснодар</t>
  </si>
  <si>
    <t>Приморско-Ахтарск</t>
  </si>
  <si>
    <t>Сочи</t>
  </si>
  <si>
    <t>Тихорецк</t>
  </si>
  <si>
    <t>Агата</t>
  </si>
  <si>
    <t>Ачинск</t>
  </si>
  <si>
    <t>Байкит</t>
  </si>
  <si>
    <t>Боготол</t>
  </si>
  <si>
    <t>Богучаны</t>
  </si>
  <si>
    <t>Ванавара</t>
  </si>
  <si>
    <t>Вельмо</t>
  </si>
  <si>
    <t>Верхнеимбатск</t>
  </si>
  <si>
    <t>Волочанка</t>
  </si>
  <si>
    <t>Диксон</t>
  </si>
  <si>
    <t xml:space="preserve">Дудинка </t>
  </si>
  <si>
    <t>Енисейск</t>
  </si>
  <si>
    <t xml:space="preserve">Ессей </t>
  </si>
  <si>
    <t>Игарка</t>
  </si>
  <si>
    <t>Канск</t>
  </si>
  <si>
    <t>Кежма</t>
  </si>
  <si>
    <t>Красноярск</t>
  </si>
  <si>
    <t>Минусинск</t>
  </si>
  <si>
    <t>Таимба</t>
  </si>
  <si>
    <t>Троицкое</t>
  </si>
  <si>
    <t>Тура</t>
  </si>
  <si>
    <t>Туруханск</t>
  </si>
  <si>
    <t>Хатанга</t>
  </si>
  <si>
    <t xml:space="preserve">Челюскин, мыс </t>
  </si>
  <si>
    <t>Ярцево</t>
  </si>
  <si>
    <t>Курган</t>
  </si>
  <si>
    <t>Курск</t>
  </si>
  <si>
    <t>Свирица</t>
  </si>
  <si>
    <t>Тихвин</t>
  </si>
  <si>
    <t>Липецк</t>
  </si>
  <si>
    <t>Аркагала</t>
  </si>
  <si>
    <t>Брохово</t>
  </si>
  <si>
    <t>Магадан (Нагаева, бухта)</t>
  </si>
  <si>
    <t>Омсукчан</t>
  </si>
  <si>
    <t>Палатка</t>
  </si>
  <si>
    <t>Среднекан</t>
  </si>
  <si>
    <t>Сусуман</t>
  </si>
  <si>
    <t>Москва</t>
  </si>
  <si>
    <t>Дмитров</t>
  </si>
  <si>
    <t>Кашира</t>
  </si>
  <si>
    <t>Вайда-Губа</t>
  </si>
  <si>
    <t>Кандалакша</t>
  </si>
  <si>
    <t>Ковдор</t>
  </si>
  <si>
    <t>Краснощелье</t>
  </si>
  <si>
    <t>Ловозеро</t>
  </si>
  <si>
    <t>Мончегорск</t>
  </si>
  <si>
    <t>Мурманск</t>
  </si>
  <si>
    <t>Ниванкюль</t>
  </si>
  <si>
    <t>Пулозеро</t>
  </si>
  <si>
    <t>Пялица</t>
  </si>
  <si>
    <t>Териберка</t>
  </si>
  <si>
    <t>Терско-Орловский</t>
  </si>
  <si>
    <t>Умба</t>
  </si>
  <si>
    <t>Юкспор</t>
  </si>
  <si>
    <t>Варандей</t>
  </si>
  <si>
    <t>Индига</t>
  </si>
  <si>
    <t>Канин Нос</t>
  </si>
  <si>
    <t>Коткино</t>
  </si>
  <si>
    <t>Нарьян-Мар</t>
  </si>
  <si>
    <t>Ходовариха</t>
  </si>
  <si>
    <t>Хоседа-Хард</t>
  </si>
  <si>
    <t>Арзамас</t>
  </si>
  <si>
    <t>Выкса</t>
  </si>
  <si>
    <t>Нижний Новгород</t>
  </si>
  <si>
    <t>Боровичи</t>
  </si>
  <si>
    <t>Великий Новгород</t>
  </si>
  <si>
    <t>Барабинск</t>
  </si>
  <si>
    <t>Болотное</t>
  </si>
  <si>
    <t>Карасук</t>
  </si>
  <si>
    <t>Кочки</t>
  </si>
  <si>
    <t>Купино</t>
  </si>
  <si>
    <t>Кыштовка</t>
  </si>
  <si>
    <t>Новосибирск</t>
  </si>
  <si>
    <t>Татарск</t>
  </si>
  <si>
    <t>Чулым</t>
  </si>
  <si>
    <t>Исиль-Куль</t>
  </si>
  <si>
    <t>Омск</t>
  </si>
  <si>
    <t>Тара</t>
  </si>
  <si>
    <t>Черлак</t>
  </si>
  <si>
    <t>Кувандык</t>
  </si>
  <si>
    <t>Оренбург</t>
  </si>
  <si>
    <t>Сорочинск</t>
  </si>
  <si>
    <t>Орел</t>
  </si>
  <si>
    <t>Земетчино</t>
  </si>
  <si>
    <t>Пенза</t>
  </si>
  <si>
    <t>Бисер</t>
  </si>
  <si>
    <t>Ножовка</t>
  </si>
  <si>
    <t>Пермь</t>
  </si>
  <si>
    <t>Чердынь</t>
  </si>
  <si>
    <t>Агзу</t>
  </si>
  <si>
    <t>Анучино</t>
  </si>
  <si>
    <t>Астраханка</t>
  </si>
  <si>
    <t>Богополь</t>
  </si>
  <si>
    <t>Владивосток</t>
  </si>
  <si>
    <t>Дальнереченск</t>
  </si>
  <si>
    <t>Кировский</t>
  </si>
  <si>
    <t>Красный Яр</t>
  </si>
  <si>
    <t>Маргаритово</t>
  </si>
  <si>
    <t>Мельничное</t>
  </si>
  <si>
    <t>Партизанск</t>
  </si>
  <si>
    <t>Посьет</t>
  </si>
  <si>
    <t>Преображение</t>
  </si>
  <si>
    <t>Рудная Пристань</t>
  </si>
  <si>
    <t>Сосуново</t>
  </si>
  <si>
    <t>Чугуевка</t>
  </si>
  <si>
    <t>Великие Луки</t>
  </si>
  <si>
    <t>Псков</t>
  </si>
  <si>
    <t>Майкоп</t>
  </si>
  <si>
    <t>Катанда</t>
  </si>
  <si>
    <t>Кош-Агач</t>
  </si>
  <si>
    <t>Онгудай</t>
  </si>
  <si>
    <t>Белорецк</t>
  </si>
  <si>
    <t>Дуван</t>
  </si>
  <si>
    <t>Мелеуз</t>
  </si>
  <si>
    <t>Уфа</t>
  </si>
  <si>
    <t>Янаул</t>
  </si>
  <si>
    <t>Бабушкин</t>
  </si>
  <si>
    <t>Багдарин</t>
  </si>
  <si>
    <t>Баргузин</t>
  </si>
  <si>
    <t>Кяхта</t>
  </si>
  <si>
    <t>Монды</t>
  </si>
  <si>
    <t>Нижнеангарск</t>
  </si>
  <si>
    <t>Сосново-Озерское</t>
  </si>
  <si>
    <t>Уакит</t>
  </si>
  <si>
    <t>Улан-Удэ</t>
  </si>
  <si>
    <t>Хоринск</t>
  </si>
  <si>
    <t>Дербент</t>
  </si>
  <si>
    <t>Махачкала</t>
  </si>
  <si>
    <t>Южно-Сухокумск</t>
  </si>
  <si>
    <t>Магас</t>
  </si>
  <si>
    <t>Назрань</t>
  </si>
  <si>
    <t>Элиста</t>
  </si>
  <si>
    <t>Кемь</t>
  </si>
  <si>
    <t>Лоухи</t>
  </si>
  <si>
    <t>Олонец</t>
  </si>
  <si>
    <t>Паданы</t>
  </si>
  <si>
    <t>Петрозаводск</t>
  </si>
  <si>
    <t>Реболы</t>
  </si>
  <si>
    <t>Сортавала</t>
  </si>
  <si>
    <t>Вендинга</t>
  </si>
  <si>
    <t>Воркута</t>
  </si>
  <si>
    <t>Объячево</t>
  </si>
  <si>
    <t>Петрунь</t>
  </si>
  <si>
    <t>Печора</t>
  </si>
  <si>
    <t>Сыктывкар</t>
  </si>
  <si>
    <t>Троицко- Печорск</t>
  </si>
  <si>
    <t>Усть-Уса</t>
  </si>
  <si>
    <t>Усть-Цильма</t>
  </si>
  <si>
    <t>Усть-Щугор</t>
  </si>
  <si>
    <t>Ухта</t>
  </si>
  <si>
    <t>Йошкар-Ола</t>
  </si>
  <si>
    <t>Саранск</t>
  </si>
  <si>
    <t>Алдан</t>
  </si>
  <si>
    <t>Аллах-Юнь</t>
  </si>
  <si>
    <t>Амга</t>
  </si>
  <si>
    <t>Батамай</t>
  </si>
  <si>
    <t>Бердигястях</t>
  </si>
  <si>
    <t>Буяга</t>
  </si>
  <si>
    <t>Верхоянск</t>
  </si>
  <si>
    <t>Вилюйск</t>
  </si>
  <si>
    <t>Витим</t>
  </si>
  <si>
    <t>Воронцово</t>
  </si>
  <si>
    <t>Джалинда</t>
  </si>
  <si>
    <t>Джарджан</t>
  </si>
  <si>
    <t>Джикимда</t>
  </si>
  <si>
    <t>Дружина</t>
  </si>
  <si>
    <t>Екючю</t>
  </si>
  <si>
    <t>Жиганск</t>
  </si>
  <si>
    <t>Зырянка</t>
  </si>
  <si>
    <t>Исить</t>
  </si>
  <si>
    <t>Иэма</t>
  </si>
  <si>
    <t>Крест- Хальджай</t>
  </si>
  <si>
    <t>Кюсюр</t>
  </si>
  <si>
    <t>Ленск</t>
  </si>
  <si>
    <t>Нагорный</t>
  </si>
  <si>
    <t>Нера</t>
  </si>
  <si>
    <t>Нюрба</t>
  </si>
  <si>
    <t>Нюя</t>
  </si>
  <si>
    <t>Оймякон</t>
  </si>
  <si>
    <t>Олекминск</t>
  </si>
  <si>
    <t>Оленек</t>
  </si>
  <si>
    <t>Охотский Перевоз</t>
  </si>
  <si>
    <t>Сангар</t>
  </si>
  <si>
    <t>Саскылах</t>
  </si>
  <si>
    <t>Среднеколымск</t>
  </si>
  <si>
    <t>Сунтар</t>
  </si>
  <si>
    <t>Сухана</t>
  </si>
  <si>
    <t>Сюльдюкар</t>
  </si>
  <si>
    <t>Сюрен-Кюель</t>
  </si>
  <si>
    <t>Токо</t>
  </si>
  <si>
    <t>Томмот</t>
  </si>
  <si>
    <t>Томпо</t>
  </si>
  <si>
    <t>Туой-Хая</t>
  </si>
  <si>
    <t>Тяня</t>
  </si>
  <si>
    <t>Усть-Мая</t>
  </si>
  <si>
    <t>Усть-Миль</t>
  </si>
  <si>
    <t>Усть-Мома</t>
  </si>
  <si>
    <t>Чульман</t>
  </si>
  <si>
    <t>Чурапча</t>
  </si>
  <si>
    <t>Шелагонцы</t>
  </si>
  <si>
    <t>Эйк</t>
  </si>
  <si>
    <t>Якутск</t>
  </si>
  <si>
    <t>Владикавказ</t>
  </si>
  <si>
    <t>Бугульма</t>
  </si>
  <si>
    <t>Елабуга</t>
  </si>
  <si>
    <t>Казань</t>
  </si>
  <si>
    <t>Кызыл</t>
  </si>
  <si>
    <t>Абакан</t>
  </si>
  <si>
    <t>Шира</t>
  </si>
  <si>
    <t>Миллерово</t>
  </si>
  <si>
    <t>Ростов-на-Дону</t>
  </si>
  <si>
    <t>Таганрог</t>
  </si>
  <si>
    <t>Рязань</t>
  </si>
  <si>
    <t>Самара</t>
  </si>
  <si>
    <t>Санкт-Петербург</t>
  </si>
  <si>
    <t>Александров Гай</t>
  </si>
  <si>
    <t>Балашов</t>
  </si>
  <si>
    <t>Саратов</t>
  </si>
  <si>
    <t>Александровск-Сахалинский</t>
  </si>
  <si>
    <t>Долинск</t>
  </si>
  <si>
    <t>Кировское</t>
  </si>
  <si>
    <t>Корсаков</t>
  </si>
  <si>
    <t>Курильск</t>
  </si>
  <si>
    <t>Макаров</t>
  </si>
  <si>
    <t>Невельск</t>
  </si>
  <si>
    <t>Ноглики</t>
  </si>
  <si>
    <t>Оха</t>
  </si>
  <si>
    <t>Погиби</t>
  </si>
  <si>
    <t>Поронайск</t>
  </si>
  <si>
    <t>Рыбновск</t>
  </si>
  <si>
    <t>Холмск</t>
  </si>
  <si>
    <t>Южно-Курильск</t>
  </si>
  <si>
    <t>Южно-Сахалинск</t>
  </si>
  <si>
    <t>Верхотурье</t>
  </si>
  <si>
    <t>Екатеринбург</t>
  </si>
  <si>
    <t>Ивдель</t>
  </si>
  <si>
    <t>Каменск-Уральский</t>
  </si>
  <si>
    <t>Туринск</t>
  </si>
  <si>
    <t>Шамары</t>
  </si>
  <si>
    <t>Вязьма</t>
  </si>
  <si>
    <t>Смоленск</t>
  </si>
  <si>
    <t>Арзгир</t>
  </si>
  <si>
    <t>Кисловодск</t>
  </si>
  <si>
    <t>Невинномысск</t>
  </si>
  <si>
    <t>Пятигорск</t>
  </si>
  <si>
    <t>Ставрополь</t>
  </si>
  <si>
    <t>Тамбов</t>
  </si>
  <si>
    <t>Бежецк</t>
  </si>
  <si>
    <t>Ржев</t>
  </si>
  <si>
    <t>Тверь</t>
  </si>
  <si>
    <t xml:space="preserve">Александровское </t>
  </si>
  <si>
    <t>Колпашево</t>
  </si>
  <si>
    <t>Средний Васюган</t>
  </si>
  <si>
    <t>Томск</t>
  </si>
  <si>
    <t>Усть-Озерное</t>
  </si>
  <si>
    <t>Тула</t>
  </si>
  <si>
    <t>Демьянское</t>
  </si>
  <si>
    <t>Леуши</t>
  </si>
  <si>
    <t>Марресаля</t>
  </si>
  <si>
    <t>Октябрьское</t>
  </si>
  <si>
    <t>Сосьва</t>
  </si>
  <si>
    <t>Тобольск</t>
  </si>
  <si>
    <t>Тюмень</t>
  </si>
  <si>
    <t>Угут</t>
  </si>
  <si>
    <t>Глазов</t>
  </si>
  <si>
    <t>Ижевск</t>
  </si>
  <si>
    <t>Сарапул</t>
  </si>
  <si>
    <t>Сурское</t>
  </si>
  <si>
    <t>Ульяновск</t>
  </si>
  <si>
    <t>Аян</t>
  </si>
  <si>
    <t>Байдуков</t>
  </si>
  <si>
    <t>Бикин</t>
  </si>
  <si>
    <t>Бира</t>
  </si>
  <si>
    <t>Вяземский</t>
  </si>
  <si>
    <t>Гвасюги</t>
  </si>
  <si>
    <t>Гроссевичи</t>
  </si>
  <si>
    <t>Де-Кастри</t>
  </si>
  <si>
    <t>Джаорэ</t>
  </si>
  <si>
    <t>Екатерино-Никольское</t>
  </si>
  <si>
    <t>Им. Полины Осипенко</t>
  </si>
  <si>
    <t>Комсомольск-на-Амуре</t>
  </si>
  <si>
    <t xml:space="preserve">Нижнетамбовское </t>
  </si>
  <si>
    <t>Николаевск-на-Амуре</t>
  </si>
  <si>
    <t>Охотск</t>
  </si>
  <si>
    <t>Сизиман</t>
  </si>
  <si>
    <t>Советская Гавань</t>
  </si>
  <si>
    <t>Софийский Прииск</t>
  </si>
  <si>
    <t>Средний Ургал</t>
  </si>
  <si>
    <t>Хабаровск</t>
  </si>
  <si>
    <t>Чумикан</t>
  </si>
  <si>
    <t>Энкэн</t>
  </si>
  <si>
    <t>Березово</t>
  </si>
  <si>
    <t>Кондинское</t>
  </si>
  <si>
    <t>Сургут</t>
  </si>
  <si>
    <t>Ханты-Мансийск</t>
  </si>
  <si>
    <t>Верхнеуральск</t>
  </si>
  <si>
    <t>Нязепетровск</t>
  </si>
  <si>
    <t>Челябинск</t>
  </si>
  <si>
    <t>Грозный</t>
  </si>
  <si>
    <t>Чувашская республика</t>
  </si>
  <si>
    <t>Порецкое</t>
  </si>
  <si>
    <t>Чебоксары</t>
  </si>
  <si>
    <t>Анадырь</t>
  </si>
  <si>
    <t>Омолон</t>
  </si>
  <si>
    <t>Островное</t>
  </si>
  <si>
    <t>Усть-Олой</t>
  </si>
  <si>
    <t>Эньмувеем</t>
  </si>
  <si>
    <t>Надым</t>
  </si>
  <si>
    <t>Салехард</t>
  </si>
  <si>
    <t>Тарко-Сале</t>
  </si>
  <si>
    <t xml:space="preserve">Уренгой </t>
  </si>
  <si>
    <t>Ярославль</t>
  </si>
  <si>
    <t>Ай-Петри</t>
  </si>
  <si>
    <t>Клепнино</t>
  </si>
  <si>
    <t>Симферополь</t>
  </si>
  <si>
    <t>Феодосия</t>
  </si>
  <si>
    <t>Ялта</t>
  </si>
  <si>
    <t>Севастополь</t>
  </si>
  <si>
    <t>Справочно: коэффициенты пересчета тут/ед.изм</t>
  </si>
  <si>
    <t>ПУ ТЭ</t>
  </si>
  <si>
    <t>К-т тут/ед.изм</t>
  </si>
  <si>
    <t>ПУ ГВС</t>
  </si>
  <si>
    <t>Сжиженный углеводородный газ (пропано-бутановая смесь)</t>
  </si>
  <si>
    <t>ПУ ХВС</t>
  </si>
  <si>
    <t>ПУ ЭЭ</t>
  </si>
  <si>
    <t>СПГ</t>
  </si>
  <si>
    <t>ПУ ПГ</t>
  </si>
  <si>
    <t>Топливо дизельное</t>
  </si>
  <si>
    <t>Энергоаудит</t>
  </si>
  <si>
    <t>Моложе 5 лет</t>
  </si>
  <si>
    <t>Низкая темп</t>
  </si>
  <si>
    <t>Бензин автомобильный</t>
  </si>
  <si>
    <t>Единицы измерения</t>
  </si>
  <si>
    <t>Коэффициенты пересчета в условное топливо по угольному эквиваленту*</t>
  </si>
  <si>
    <r>
      <rPr>
        <sz val="12"/>
        <color rgb="FF000000"/>
        <rFont val="Times New Roman"/>
        <charset val="204"/>
      </rPr>
      <t>м</t>
    </r>
    <r>
      <rPr>
        <vertAlign val="superscript"/>
        <sz val="12"/>
        <color rgb="FF000000"/>
        <rFont val="Times New Roman"/>
        <charset val="204"/>
      </rPr>
      <t>3</t>
    </r>
    <r>
      <rPr>
        <sz val="12"/>
        <color rgb="FF000000"/>
        <rFont val="Times New Roman"/>
        <charset val="204"/>
      </rPr>
      <t xml:space="preserve"> (плотн.)</t>
    </r>
  </si>
  <si>
    <t>Сбор ГСОП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</si>
</sst>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0"/>
    <numFmt numFmtId="181" formatCode="0.00000"/>
    <numFmt numFmtId="182" formatCode="#\ ##0"/>
    <numFmt numFmtId="183" formatCode="0.0%"/>
    <numFmt numFmtId="184" formatCode="0.0"/>
    <numFmt numFmtId="185" formatCode="0.000"/>
    <numFmt numFmtId="186" formatCode="#\ ##0.00"/>
    <numFmt numFmtId="187" formatCode="dd\.mmm"/>
    <numFmt numFmtId="188" formatCode="[$-F800]dddd\,\ mmmm\ dd\,\ yyyy"/>
  </numFmts>
  <fonts count="7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b/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2"/>
      <color theme="1"/>
      <name val="Calibri"/>
      <charset val="134"/>
    </font>
    <font>
      <sz val="12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sz val="11"/>
      <color theme="0"/>
      <name val="Calibri"/>
      <charset val="204"/>
      <scheme val="minor"/>
    </font>
    <font>
      <sz val="10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b/>
      <sz val="12"/>
      <color rgb="FF000000"/>
      <name val="Times New Roman"/>
      <charset val="204"/>
    </font>
    <font>
      <sz val="10"/>
      <name val="Arial"/>
      <charset val="204"/>
    </font>
    <font>
      <sz val="9"/>
      <color theme="1"/>
      <name val="Times New Roman"/>
      <charset val="204"/>
    </font>
    <font>
      <i/>
      <sz val="9"/>
      <color theme="1"/>
      <name val="Times New Roman"/>
      <charset val="204"/>
    </font>
    <font>
      <i/>
      <sz val="9"/>
      <color rgb="FF000000"/>
      <name val="Times New Roman"/>
      <charset val="204"/>
    </font>
    <font>
      <sz val="9"/>
      <color rgb="FF000000"/>
      <name val="Times New Roman"/>
      <charset val="204"/>
    </font>
    <font>
      <sz val="9"/>
      <name val="Times New Roman"/>
      <charset val="204"/>
    </font>
    <font>
      <b/>
      <sz val="9"/>
      <color theme="1"/>
      <name val="Times New Roman"/>
      <charset val="204"/>
    </font>
    <font>
      <sz val="10"/>
      <color theme="1"/>
      <name val="Times New Roman"/>
      <charset val="204"/>
    </font>
    <font>
      <i/>
      <sz val="10"/>
      <color rgb="FF000000"/>
      <name val="Times New Roman"/>
      <charset val="204"/>
    </font>
    <font>
      <b/>
      <sz val="10"/>
      <color rgb="FFFF0000"/>
      <name val="Times New Roman"/>
      <charset val="204"/>
    </font>
    <font>
      <i/>
      <sz val="10"/>
      <color theme="1"/>
      <name val="Times New Roman"/>
      <charset val="204"/>
    </font>
    <font>
      <sz val="10"/>
      <color rgb="FF000000"/>
      <name val="Times New Roman"/>
      <charset val="204"/>
    </font>
    <font>
      <sz val="12"/>
      <color theme="1"/>
      <name val="Times New Roman"/>
      <charset val="204"/>
    </font>
    <font>
      <sz val="9"/>
      <color rgb="FF000000"/>
      <name val="Calibri"/>
      <charset val="204"/>
      <scheme val="minor"/>
    </font>
    <font>
      <sz val="8"/>
      <name val="Times New Roman"/>
      <charset val="204"/>
    </font>
    <font>
      <sz val="11"/>
      <color theme="1"/>
      <name val="Stem"/>
      <charset val="134"/>
    </font>
    <font>
      <b/>
      <sz val="14"/>
      <color theme="1"/>
      <name val="Stem"/>
      <charset val="134"/>
    </font>
    <font>
      <sz val="14"/>
      <color theme="1"/>
      <name val="Stem"/>
      <charset val="134"/>
    </font>
    <font>
      <u/>
      <sz val="14"/>
      <color theme="10"/>
      <name val="Stem"/>
      <charset val="134"/>
    </font>
    <font>
      <sz val="10"/>
      <color theme="1"/>
      <name val="Stem"/>
      <charset val="134"/>
    </font>
    <font>
      <sz val="11"/>
      <color rgb="FF000000"/>
      <name val="Stem"/>
      <charset val="134"/>
    </font>
    <font>
      <sz val="10"/>
      <color rgb="FF000000"/>
      <name val="Stem"/>
      <charset val="134"/>
    </font>
    <font>
      <sz val="12"/>
      <color rgb="FF000000"/>
      <name val="Stem"/>
      <charset val="134"/>
    </font>
    <font>
      <sz val="10"/>
      <name val="Stem"/>
      <charset val="134"/>
    </font>
    <font>
      <sz val="10"/>
      <color rgb="FFFF0000"/>
      <name val="Stem"/>
      <charset val="134"/>
    </font>
    <font>
      <sz val="9"/>
      <color theme="1"/>
      <name val="Stem"/>
      <charset val="134"/>
    </font>
    <font>
      <sz val="8"/>
      <color theme="1"/>
      <name val="Stem"/>
      <charset val="134"/>
    </font>
    <font>
      <sz val="11"/>
      <color theme="0" tint="-0.149998474074526"/>
      <name val="Stem"/>
      <charset val="134"/>
    </font>
    <font>
      <u/>
      <sz val="14"/>
      <color rgb="FF800080"/>
      <name val="Stem"/>
      <charset val="134"/>
    </font>
    <font>
      <i/>
      <sz val="11"/>
      <color theme="1"/>
      <name val="Stem"/>
      <charset val="134"/>
    </font>
    <font>
      <b/>
      <sz val="11"/>
      <color theme="1"/>
      <name val="Stem"/>
      <charset val="134"/>
    </font>
    <font>
      <u/>
      <sz val="11"/>
      <color theme="10"/>
      <name val="Stem"/>
      <charset val="134"/>
    </font>
    <font>
      <sz val="14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sz val="11"/>
      <name val="Calibri"/>
      <charset val="204"/>
      <scheme val="minor"/>
    </font>
    <font>
      <sz val="12"/>
      <color theme="1"/>
      <name val="Stem"/>
      <charset val="134"/>
    </font>
    <font>
      <u/>
      <sz val="11"/>
      <color theme="10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vertAlign val="superscript"/>
      <sz val="12"/>
      <color rgb="FF000000"/>
      <name val="Times New Roman"/>
      <charset val="204"/>
    </font>
    <font>
      <vertAlign val="subscript"/>
      <sz val="12"/>
      <color rgb="FF000000"/>
      <name val="Times New Roman"/>
      <charset val="204"/>
    </font>
    <font>
      <vertAlign val="superscript"/>
      <sz val="11"/>
      <color rgb="FF000000"/>
      <name val="Stem"/>
      <charset val="134"/>
    </font>
    <font>
      <b/>
      <sz val="9"/>
      <name val="Tahoma"/>
      <charset val="204"/>
    </font>
    <font>
      <sz val="9"/>
      <name val="Tahoma"/>
      <charset val="204"/>
    </font>
  </fonts>
  <fills count="50">
    <fill>
      <patternFill patternType="none"/>
    </fill>
    <fill>
      <patternFill patternType="gray125"/>
    </fill>
    <fill>
      <patternFill patternType="solid">
        <fgColor theme="0" tint="-0.149998474074526"/>
        <bgColor theme="0" tint="-0.149998474074526"/>
      </patternFill>
    </fill>
    <fill>
      <patternFill patternType="solid">
        <fgColor theme="0"/>
        <bgColor indexed="64"/>
      </patternFill>
    </fill>
    <fill>
      <patternFill patternType="lightUp">
        <fgColor theme="0" tint="-0.14996795556505"/>
        <bgColor theme="0" tint="-0.0499893185216834"/>
      </patternFill>
    </fill>
    <fill>
      <patternFill patternType="solid">
        <fgColor rgb="FFFFE69F"/>
        <bgColor indexed="64"/>
      </patternFill>
    </fill>
    <fill>
      <patternFill patternType="lightUp">
        <fgColor theme="0" tint="-0.14996795556505"/>
        <bgColor rgb="FFE4F0F8"/>
      </patternFill>
    </fill>
    <fill>
      <patternFill patternType="lightUp">
        <fgColor theme="0" tint="-0.14996795556505"/>
        <bgColor rgb="FFFFE69F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34A0C3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EBFFFF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42B3AA"/>
        <bgColor indexed="64"/>
      </patternFill>
    </fill>
    <fill>
      <patternFill patternType="lightUp">
        <fgColor theme="0" tint="-0.14996795556505"/>
        <bgColor theme="2" tint="-0.0999786370433668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63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>
      <alignment vertical="center"/>
    </xf>
    <xf numFmtId="0" fontId="0" fillId="22" borderId="55" applyNumberFormat="0" applyFont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0" borderId="56" applyNumberFormat="0" applyFill="0" applyAlignment="0" applyProtection="0">
      <alignment vertical="center"/>
    </xf>
    <xf numFmtId="0" fontId="54" fillId="0" borderId="56" applyNumberFormat="0" applyFill="0" applyAlignment="0" applyProtection="0">
      <alignment vertical="center"/>
    </xf>
    <xf numFmtId="0" fontId="55" fillId="0" borderId="57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23" borderId="58" applyNumberFormat="0" applyAlignment="0" applyProtection="0">
      <alignment vertical="center"/>
    </xf>
    <xf numFmtId="0" fontId="57" fillId="24" borderId="59" applyNumberFormat="0" applyAlignment="0" applyProtection="0">
      <alignment vertical="center"/>
    </xf>
    <xf numFmtId="0" fontId="58" fillId="24" borderId="58" applyNumberFormat="0" applyAlignment="0" applyProtection="0">
      <alignment vertical="center"/>
    </xf>
    <xf numFmtId="0" fontId="59" fillId="25" borderId="60" applyNumberFormat="0" applyAlignment="0" applyProtection="0">
      <alignment vertical="center"/>
    </xf>
    <xf numFmtId="0" fontId="60" fillId="0" borderId="61" applyNumberFormat="0" applyFill="0" applyAlignment="0" applyProtection="0">
      <alignment vertical="center"/>
    </xf>
    <xf numFmtId="0" fontId="61" fillId="0" borderId="62" applyNumberFormat="0" applyFill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3" fillId="27" borderId="0" applyNumberFormat="0" applyBorder="0" applyAlignment="0" applyProtection="0">
      <alignment vertical="center"/>
    </xf>
    <xf numFmtId="0" fontId="64" fillId="28" borderId="0" applyNumberFormat="0" applyBorder="0" applyAlignment="0" applyProtection="0">
      <alignment vertical="center"/>
    </xf>
    <xf numFmtId="0" fontId="65" fillId="29" borderId="0" applyNumberFormat="0" applyBorder="0" applyAlignment="0" applyProtection="0">
      <alignment vertical="center"/>
    </xf>
    <xf numFmtId="0" fontId="66" fillId="30" borderId="0" applyNumberFormat="0" applyBorder="0" applyAlignment="0" applyProtection="0">
      <alignment vertical="center"/>
    </xf>
    <xf numFmtId="0" fontId="66" fillId="31" borderId="0" applyNumberFormat="0" applyBorder="0" applyAlignment="0" applyProtection="0">
      <alignment vertical="center"/>
    </xf>
    <xf numFmtId="0" fontId="65" fillId="32" borderId="0" applyNumberFormat="0" applyBorder="0" applyAlignment="0" applyProtection="0">
      <alignment vertical="center"/>
    </xf>
    <xf numFmtId="0" fontId="65" fillId="33" borderId="0" applyNumberFormat="0" applyBorder="0" applyAlignment="0" applyProtection="0">
      <alignment vertical="center"/>
    </xf>
    <xf numFmtId="0" fontId="66" fillId="34" borderId="0" applyNumberFormat="0" applyBorder="0" applyAlignment="0" applyProtection="0">
      <alignment vertical="center"/>
    </xf>
    <xf numFmtId="0" fontId="66" fillId="35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6" fillId="38" borderId="0" applyNumberFormat="0" applyBorder="0" applyAlignment="0" applyProtection="0">
      <alignment vertical="center"/>
    </xf>
    <xf numFmtId="0" fontId="66" fillId="39" borderId="0" applyNumberFormat="0" applyBorder="0" applyAlignment="0" applyProtection="0">
      <alignment vertical="center"/>
    </xf>
    <xf numFmtId="0" fontId="65" fillId="40" borderId="0" applyNumberFormat="0" applyBorder="0" applyAlignment="0" applyProtection="0">
      <alignment vertical="center"/>
    </xf>
    <xf numFmtId="0" fontId="65" fillId="41" borderId="0" applyNumberFormat="0" applyBorder="0" applyAlignment="0" applyProtection="0">
      <alignment vertical="center"/>
    </xf>
    <xf numFmtId="0" fontId="66" fillId="8" borderId="0" applyNumberFormat="0" applyBorder="0" applyAlignment="0" applyProtection="0">
      <alignment vertical="center"/>
    </xf>
    <xf numFmtId="0" fontId="66" fillId="42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6" fillId="45" borderId="0" applyNumberFormat="0" applyBorder="0" applyAlignment="0" applyProtection="0">
      <alignment vertical="center"/>
    </xf>
    <xf numFmtId="0" fontId="66" fillId="46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6" fillId="10" borderId="0" applyNumberFormat="0" applyBorder="0" applyAlignment="0" applyProtection="0">
      <alignment vertical="center"/>
    </xf>
    <xf numFmtId="0" fontId="66" fillId="11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3" fillId="0" borderId="0"/>
    <xf numFmtId="0" fontId="1" fillId="0" borderId="0"/>
    <xf numFmtId="0" fontId="11" fillId="0" borderId="0" applyNumberFormat="0" applyFont="0" applyFill="0" applyBorder="0" applyAlignment="0" applyProtection="0">
      <alignment vertical="top"/>
    </xf>
    <xf numFmtId="0" fontId="1" fillId="0" borderId="0"/>
    <xf numFmtId="9" fontId="1" fillId="0" borderId="0" applyFont="0" applyFill="0" applyBorder="0" applyAlignment="0" applyProtection="0"/>
  </cellStyleXfs>
  <cellXfs count="530">
    <xf numFmtId="0" fontId="0" fillId="0" borderId="0" xfId="0"/>
    <xf numFmtId="0" fontId="1" fillId="0" borderId="0" xfId="52" applyAlignment="1" applyProtection="1">
      <protection hidden="1"/>
    </xf>
    <xf numFmtId="0" fontId="1" fillId="0" borderId="0" xfId="52" applyProtection="1">
      <protection hidden="1"/>
    </xf>
    <xf numFmtId="0" fontId="1" fillId="2" borderId="1" xfId="52" applyFont="1" applyFill="1" applyBorder="1" applyAlignment="1" applyProtection="1">
      <protection hidden="1"/>
    </xf>
    <xf numFmtId="0" fontId="1" fillId="2" borderId="2" xfId="52" applyFont="1" applyFill="1" applyBorder="1" applyAlignment="1" applyProtection="1">
      <protection hidden="1"/>
    </xf>
    <xf numFmtId="0" fontId="2" fillId="0" borderId="2" xfId="52" applyFont="1" applyBorder="1" applyAlignment="1" applyProtection="1">
      <protection hidden="1"/>
    </xf>
    <xf numFmtId="0" fontId="2" fillId="0" borderId="1" xfId="52" applyFont="1" applyBorder="1" applyAlignment="1" applyProtection="1">
      <protection hidden="1"/>
    </xf>
    <xf numFmtId="0" fontId="3" fillId="0" borderId="3" xfId="49" applyNumberFormat="1" applyFont="1" applyBorder="1" applyAlignment="1" applyProtection="1">
      <protection hidden="1"/>
    </xf>
    <xf numFmtId="0" fontId="3" fillId="0" borderId="4" xfId="49" applyNumberFormat="1" applyFont="1" applyBorder="1" applyAlignment="1" applyProtection="1">
      <protection hidden="1"/>
    </xf>
    <xf numFmtId="0" fontId="1" fillId="0" borderId="5" xfId="52" applyBorder="1" applyAlignment="1" applyProtection="1">
      <protection hidden="1"/>
    </xf>
    <xf numFmtId="0" fontId="3" fillId="2" borderId="3" xfId="49" applyNumberFormat="1" applyFont="1" applyFill="1" applyBorder="1" applyAlignment="1" applyProtection="1">
      <protection hidden="1"/>
    </xf>
    <xf numFmtId="0" fontId="3" fillId="2" borderId="4" xfId="49" applyNumberFormat="1" applyFont="1" applyFill="1" applyBorder="1" applyAlignment="1" applyProtection="1">
      <protection hidden="1"/>
    </xf>
    <xf numFmtId="0" fontId="3" fillId="0" borderId="6" xfId="49" applyFont="1" applyBorder="1" applyAlignment="1" applyProtection="1">
      <protection hidden="1"/>
    </xf>
    <xf numFmtId="0" fontId="4" fillId="0" borderId="3" xfId="49" applyFont="1" applyBorder="1" applyAlignment="1" applyProtection="1">
      <protection hidden="1"/>
    </xf>
    <xf numFmtId="0" fontId="1" fillId="0" borderId="3" xfId="52" applyFont="1" applyBorder="1" applyAlignment="1" applyProtection="1">
      <protection hidden="1"/>
    </xf>
    <xf numFmtId="0" fontId="4" fillId="0" borderId="3" xfId="49" applyFont="1" applyFill="1" applyBorder="1" applyAlignment="1" applyProtection="1">
      <protection hidden="1"/>
    </xf>
    <xf numFmtId="0" fontId="4" fillId="0" borderId="4" xfId="49" applyNumberFormat="1" applyFont="1" applyBorder="1" applyAlignment="1" applyProtection="1">
      <protection hidden="1"/>
    </xf>
    <xf numFmtId="0" fontId="1" fillId="0" borderId="0" xfId="52" applyProtection="1">
      <protection locked="0" hidden="1"/>
    </xf>
    <xf numFmtId="0" fontId="4" fillId="0" borderId="4" xfId="49" applyNumberFormat="1" applyFont="1" applyBorder="1" applyAlignment="1"/>
    <xf numFmtId="0" fontId="4" fillId="0" borderId="6" xfId="49" applyFont="1" applyBorder="1" applyAlignment="1" applyProtection="1">
      <protection hidden="1"/>
    </xf>
    <xf numFmtId="0" fontId="1" fillId="2" borderId="2" xfId="52" applyNumberFormat="1" applyFont="1" applyFill="1" applyBorder="1" applyAlignment="1"/>
    <xf numFmtId="0" fontId="1" fillId="0" borderId="0" xfId="52" applyFont="1" applyProtection="1">
      <protection hidden="1"/>
    </xf>
    <xf numFmtId="0" fontId="3" fillId="0" borderId="7" xfId="49" applyNumberFormat="1" applyFont="1" applyBorder="1" applyAlignment="1" applyProtection="1">
      <protection hidden="1"/>
    </xf>
    <xf numFmtId="0" fontId="5" fillId="0" borderId="4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4" fillId="0" borderId="4" xfId="49" applyFont="1" applyBorder="1" applyAlignment="1" applyProtection="1">
      <protection hidden="1"/>
    </xf>
    <xf numFmtId="0" fontId="4" fillId="3" borderId="4" xfId="49" applyFont="1" applyFill="1" applyBorder="1" applyAlignment="1" applyProtection="1">
      <protection hidden="1"/>
    </xf>
    <xf numFmtId="0" fontId="4" fillId="0" borderId="4" xfId="49" applyFont="1" applyFill="1" applyBorder="1" applyAlignment="1" applyProtection="1">
      <protection hidden="1"/>
    </xf>
    <xf numFmtId="0" fontId="4" fillId="0" borderId="7" xfId="49" applyFont="1" applyBorder="1" applyAlignment="1" applyProtection="1">
      <protection hidden="1"/>
    </xf>
    <xf numFmtId="0" fontId="6" fillId="0" borderId="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" fillId="4" borderId="0" xfId="50" applyFill="1" applyProtection="1">
      <protection hidden="1"/>
    </xf>
    <xf numFmtId="0" fontId="7" fillId="0" borderId="4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Fill="1" applyBorder="1" applyAlignment="1">
      <alignment vertical="center"/>
    </xf>
    <xf numFmtId="180" fontId="6" fillId="0" borderId="4" xfId="0" applyNumberFormat="1" applyFont="1" applyBorder="1" applyAlignment="1">
      <alignment horizontal="center" vertical="center"/>
    </xf>
    <xf numFmtId="0" fontId="8" fillId="4" borderId="0" xfId="50" applyFont="1" applyFill="1" applyAlignment="1" applyProtection="1">
      <alignment vertical="center" wrapText="1"/>
      <protection hidden="1"/>
    </xf>
    <xf numFmtId="0" fontId="6" fillId="0" borderId="4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181" fontId="0" fillId="0" borderId="0" xfId="0" applyNumberFormat="1"/>
    <xf numFmtId="0" fontId="9" fillId="5" borderId="0" xfId="52" applyFont="1" applyFill="1"/>
    <xf numFmtId="0" fontId="1" fillId="5" borderId="0" xfId="52" applyFill="1"/>
    <xf numFmtId="0" fontId="1" fillId="6" borderId="0" xfId="52" applyFill="1"/>
    <xf numFmtId="0" fontId="10" fillId="0" borderId="4" xfId="0" applyFont="1" applyBorder="1" applyAlignment="1">
      <alignment vertical="center"/>
    </xf>
    <xf numFmtId="0" fontId="10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0" fillId="0" borderId="4" xfId="0" applyBorder="1"/>
    <xf numFmtId="0" fontId="5" fillId="0" borderId="4" xfId="0" applyFont="1" applyFill="1" applyBorder="1" applyAlignment="1">
      <alignment vertical="center"/>
    </xf>
    <xf numFmtId="182" fontId="5" fillId="0" borderId="10" xfId="0" applyNumberFormat="1" applyFont="1" applyBorder="1" applyAlignment="1">
      <alignment horizontal="center" vertical="center" wrapText="1"/>
    </xf>
    <xf numFmtId="182" fontId="5" fillId="0" borderId="11" xfId="0" applyNumberFormat="1" applyFont="1" applyBorder="1" applyAlignment="1">
      <alignment horizontal="center" vertical="center" wrapText="1"/>
    </xf>
    <xf numFmtId="182" fontId="5" fillId="0" borderId="12" xfId="0" applyNumberFormat="1" applyFont="1" applyBorder="1" applyAlignment="1">
      <alignment horizontal="center" vertical="center" wrapText="1"/>
    </xf>
    <xf numFmtId="182" fontId="5" fillId="0" borderId="13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8" xfId="0" applyFont="1" applyFill="1" applyBorder="1" applyAlignment="1">
      <alignment vertical="center"/>
    </xf>
    <xf numFmtId="1" fontId="5" fillId="0" borderId="10" xfId="0" applyNumberFormat="1" applyFont="1" applyBorder="1" applyAlignment="1">
      <alignment horizontal="center" vertical="center" wrapText="1"/>
    </xf>
    <xf numFmtId="1" fontId="5" fillId="0" borderId="11" xfId="0" applyNumberFormat="1" applyFont="1" applyBorder="1" applyAlignment="1">
      <alignment horizontal="center" vertical="center" wrapText="1"/>
    </xf>
    <xf numFmtId="1" fontId="5" fillId="0" borderId="12" xfId="0" applyNumberFormat="1" applyFont="1" applyBorder="1" applyAlignment="1">
      <alignment horizontal="center" vertical="center" wrapText="1"/>
    </xf>
    <xf numFmtId="1" fontId="5" fillId="0" borderId="13" xfId="0" applyNumberFormat="1" applyFont="1" applyBorder="1" applyAlignment="1">
      <alignment horizontal="center" vertical="center" wrapText="1"/>
    </xf>
    <xf numFmtId="0" fontId="1" fillId="0" borderId="0" xfId="52"/>
    <xf numFmtId="0" fontId="11" fillId="0" borderId="0" xfId="51" applyNumberFormat="1" applyFont="1" applyFill="1" applyBorder="1" applyAlignment="1" applyProtection="1">
      <alignment vertical="top"/>
    </xf>
    <xf numFmtId="0" fontId="1" fillId="7" borderId="0" xfId="52" applyFill="1"/>
    <xf numFmtId="182" fontId="11" fillId="0" borderId="0" xfId="51" applyNumberFormat="1" applyFont="1" applyFill="1" applyBorder="1" applyAlignment="1" applyProtection="1">
      <alignment vertical="top"/>
    </xf>
    <xf numFmtId="0" fontId="0" fillId="8" borderId="0" xfId="0" applyFill="1"/>
    <xf numFmtId="0" fontId="9" fillId="9" borderId="0" xfId="0" applyFont="1" applyFill="1" applyAlignment="1">
      <alignment horizontal="center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top" wrapText="1"/>
    </xf>
    <xf numFmtId="0" fontId="12" fillId="0" borderId="16" xfId="0" applyFont="1" applyBorder="1" applyAlignment="1">
      <alignment horizontal="center" vertical="top" wrapText="1"/>
    </xf>
    <xf numFmtId="0" fontId="12" fillId="0" borderId="11" xfId="0" applyFont="1" applyBorder="1" applyAlignment="1">
      <alignment horizontal="center" vertical="top" wrapText="1"/>
    </xf>
    <xf numFmtId="183" fontId="12" fillId="8" borderId="16" xfId="0" applyNumberFormat="1" applyFont="1" applyFill="1" applyBorder="1" applyAlignment="1">
      <alignment horizontal="center" vertical="top" wrapText="1"/>
    </xf>
    <xf numFmtId="0" fontId="12" fillId="0" borderId="17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top" wrapText="1"/>
    </xf>
    <xf numFmtId="0" fontId="12" fillId="8" borderId="13" xfId="0" applyFont="1" applyFill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wrapText="1"/>
    </xf>
    <xf numFmtId="0" fontId="14" fillId="0" borderId="4" xfId="0" applyFont="1" applyBorder="1" applyAlignment="1">
      <alignment horizontal="center" wrapText="1"/>
    </xf>
    <xf numFmtId="0" fontId="14" fillId="8" borderId="4" xfId="0" applyFont="1" applyFill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184" fontId="15" fillId="10" borderId="4" xfId="0" applyNumberFormat="1" applyFont="1" applyFill="1" applyBorder="1" applyAlignment="1">
      <alignment horizontal="center" wrapText="1"/>
    </xf>
    <xf numFmtId="183" fontId="12" fillId="0" borderId="4" xfId="3" applyNumberFormat="1" applyFont="1" applyBorder="1" applyAlignment="1">
      <alignment horizontal="center" vertical="top" wrapText="1"/>
    </xf>
    <xf numFmtId="183" fontId="12" fillId="8" borderId="4" xfId="3" applyNumberFormat="1" applyFont="1" applyFill="1" applyBorder="1" applyAlignment="1">
      <alignment horizontal="center" vertical="top" wrapText="1"/>
    </xf>
    <xf numFmtId="0" fontId="15" fillId="0" borderId="4" xfId="0" applyFont="1" applyBorder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8" borderId="4" xfId="0" applyFont="1" applyFill="1" applyBorder="1" applyAlignment="1">
      <alignment horizontal="center" vertical="top" wrapText="1"/>
    </xf>
    <xf numFmtId="183" fontId="12" fillId="0" borderId="4" xfId="0" applyNumberFormat="1" applyFont="1" applyBorder="1" applyAlignment="1">
      <alignment horizontal="center" vertical="top" wrapText="1"/>
    </xf>
    <xf numFmtId="183" fontId="12" fillId="8" borderId="4" xfId="0" applyNumberFormat="1" applyFont="1" applyFill="1" applyBorder="1" applyAlignment="1">
      <alignment horizontal="center" vertical="top" wrapText="1"/>
    </xf>
    <xf numFmtId="0" fontId="12" fillId="0" borderId="4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center" wrapText="1"/>
    </xf>
    <xf numFmtId="184" fontId="12" fillId="0" borderId="4" xfId="0" applyNumberFormat="1" applyFont="1" applyBorder="1" applyAlignment="1">
      <alignment horizontal="center" vertical="center" wrapText="1"/>
    </xf>
    <xf numFmtId="185" fontId="12" fillId="8" borderId="4" xfId="0" applyNumberFormat="1" applyFont="1" applyFill="1" applyBorder="1" applyAlignment="1">
      <alignment horizontal="center" vertical="center" wrapText="1"/>
    </xf>
    <xf numFmtId="184" fontId="15" fillId="8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8" borderId="4" xfId="0" applyFont="1" applyFill="1" applyBorder="1" applyAlignment="1">
      <alignment horizontal="center" vertical="center" wrapText="1"/>
    </xf>
    <xf numFmtId="0" fontId="0" fillId="9" borderId="0" xfId="0" applyFill="1"/>
    <xf numFmtId="185" fontId="0" fillId="9" borderId="0" xfId="0" applyNumberFormat="1" applyFill="1"/>
    <xf numFmtId="0" fontId="12" fillId="0" borderId="18" xfId="0" applyFont="1" applyBorder="1" applyAlignment="1">
      <alignment horizontal="center" vertical="center" wrapText="1"/>
    </xf>
    <xf numFmtId="183" fontId="12" fillId="11" borderId="4" xfId="0" applyNumberFormat="1" applyFont="1" applyFill="1" applyBorder="1" applyAlignment="1">
      <alignment horizontal="center" vertical="top" wrapText="1"/>
    </xf>
    <xf numFmtId="0" fontId="12" fillId="0" borderId="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184" fontId="12" fillId="10" borderId="4" xfId="0" applyNumberFormat="1" applyFont="1" applyFill="1" applyBorder="1" applyAlignment="1">
      <alignment horizontal="center" wrapText="1"/>
    </xf>
    <xf numFmtId="0" fontId="15" fillId="0" borderId="0" xfId="0" applyFont="1" applyBorder="1" applyAlignment="1">
      <alignment horizontal="center" vertical="center" wrapText="1"/>
    </xf>
    <xf numFmtId="2" fontId="12" fillId="0" borderId="4" xfId="0" applyNumberFormat="1" applyFont="1" applyBorder="1" applyAlignment="1">
      <alignment horizontal="center" vertical="center" wrapText="1"/>
    </xf>
    <xf numFmtId="2" fontId="12" fillId="8" borderId="4" xfId="0" applyNumberFormat="1" applyFont="1" applyFill="1" applyBorder="1" applyAlignment="1">
      <alignment horizontal="center" vertical="center" wrapText="1"/>
    </xf>
    <xf numFmtId="2" fontId="15" fillId="8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wrapText="1"/>
    </xf>
    <xf numFmtId="0" fontId="12" fillId="0" borderId="0" xfId="0" applyFont="1" applyBorder="1" applyAlignment="1">
      <alignment horizontal="center" vertical="top" wrapText="1"/>
    </xf>
    <xf numFmtId="0" fontId="13" fillId="0" borderId="19" xfId="0" applyFont="1" applyBorder="1" applyAlignment="1">
      <alignment horizontal="center" wrapText="1"/>
    </xf>
    <xf numFmtId="0" fontId="14" fillId="0" borderId="19" xfId="0" applyFont="1" applyBorder="1" applyAlignment="1">
      <alignment horizontal="center" wrapText="1"/>
    </xf>
    <xf numFmtId="0" fontId="14" fillId="8" borderId="19" xfId="0" applyFont="1" applyFill="1" applyBorder="1" applyAlignment="1">
      <alignment horizontal="center" wrapText="1"/>
    </xf>
    <xf numFmtId="2" fontId="16" fillId="11" borderId="4" xfId="0" applyNumberFormat="1" applyFont="1" applyFill="1" applyBorder="1" applyAlignment="1">
      <alignment horizontal="center" vertical="center"/>
    </xf>
    <xf numFmtId="0" fontId="12" fillId="10" borderId="0" xfId="0" applyFont="1" applyFill="1" applyBorder="1" applyAlignment="1">
      <alignment horizontal="center" vertical="center" wrapText="1"/>
    </xf>
    <xf numFmtId="183" fontId="12" fillId="0" borderId="6" xfId="3" applyNumberFormat="1" applyFont="1" applyBorder="1" applyAlignment="1">
      <alignment horizontal="center" vertical="top" wrapText="1"/>
    </xf>
    <xf numFmtId="0" fontId="17" fillId="0" borderId="0" xfId="0" applyFont="1" applyBorder="1" applyAlignment="1">
      <alignment horizontal="center" wrapText="1"/>
    </xf>
    <xf numFmtId="0" fontId="12" fillId="0" borderId="20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17" fillId="0" borderId="4" xfId="0" applyFont="1" applyBorder="1" applyAlignment="1">
      <alignment horizontal="center" wrapText="1"/>
    </xf>
    <xf numFmtId="0" fontId="12" fillId="9" borderId="4" xfId="0" applyFont="1" applyFill="1" applyBorder="1" applyAlignment="1">
      <alignment horizontal="center" vertical="center" wrapText="1"/>
    </xf>
    <xf numFmtId="185" fontId="12" fillId="0" borderId="4" xfId="0" applyNumberFormat="1" applyFont="1" applyBorder="1" applyAlignment="1">
      <alignment horizontal="center" vertical="center" wrapText="1"/>
    </xf>
    <xf numFmtId="185" fontId="15" fillId="8" borderId="4" xfId="0" applyNumberFormat="1" applyFont="1" applyFill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/>
    </xf>
    <xf numFmtId="0" fontId="18" fillId="8" borderId="4" xfId="0" applyFont="1" applyFill="1" applyBorder="1" applyAlignment="1">
      <alignment horizontal="center" vertical="center" wrapText="1"/>
    </xf>
    <xf numFmtId="0" fontId="18" fillId="8" borderId="4" xfId="0" applyFont="1" applyFill="1" applyBorder="1" applyAlignment="1">
      <alignment horizontal="center" vertical="center"/>
    </xf>
    <xf numFmtId="0" fontId="12" fillId="11" borderId="4" xfId="0" applyFont="1" applyFill="1" applyBorder="1" applyAlignment="1">
      <alignment horizontal="center" vertical="center" wrapText="1"/>
    </xf>
    <xf numFmtId="2" fontId="12" fillId="11" borderId="4" xfId="0" applyNumberFormat="1" applyFont="1" applyFill="1" applyBorder="1" applyAlignment="1">
      <alignment horizontal="center" vertical="center" wrapText="1"/>
    </xf>
    <xf numFmtId="0" fontId="12" fillId="11" borderId="4" xfId="0" applyFont="1" applyFill="1" applyBorder="1" applyAlignment="1">
      <alignment horizontal="center" wrapText="1"/>
    </xf>
    <xf numFmtId="185" fontId="12" fillId="0" borderId="4" xfId="0" applyNumberFormat="1" applyFont="1" applyBorder="1" applyAlignment="1">
      <alignment horizontal="center" vertical="top" wrapText="1"/>
    </xf>
    <xf numFmtId="185" fontId="12" fillId="8" borderId="4" xfId="0" applyNumberFormat="1" applyFont="1" applyFill="1" applyBorder="1" applyAlignment="1">
      <alignment horizontal="center" vertical="top" wrapText="1"/>
    </xf>
    <xf numFmtId="185" fontId="15" fillId="8" borderId="4" xfId="0" applyNumberFormat="1" applyFont="1" applyFill="1" applyBorder="1" applyAlignment="1">
      <alignment horizontal="center" wrapText="1"/>
    </xf>
    <xf numFmtId="0" fontId="18" fillId="0" borderId="13" xfId="0" applyFont="1" applyBorder="1" applyAlignment="1">
      <alignment horizontal="center" vertical="top" wrapText="1"/>
    </xf>
    <xf numFmtId="0" fontId="19" fillId="0" borderId="21" xfId="0" applyFont="1" applyBorder="1" applyAlignment="1">
      <alignment horizontal="center" vertical="center" wrapText="1"/>
    </xf>
    <xf numFmtId="0" fontId="15" fillId="9" borderId="4" xfId="0" applyFont="1" applyFill="1" applyBorder="1" applyAlignment="1">
      <alignment horizontal="center" vertical="center" wrapText="1"/>
    </xf>
    <xf numFmtId="2" fontId="0" fillId="9" borderId="0" xfId="0" applyNumberFormat="1" applyFill="1"/>
    <xf numFmtId="0" fontId="12" fillId="0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2" fontId="12" fillId="11" borderId="4" xfId="0" applyNumberFormat="1" applyFont="1" applyFill="1" applyBorder="1" applyAlignment="1">
      <alignment horizontal="center" wrapText="1"/>
    </xf>
    <xf numFmtId="0" fontId="15" fillId="10" borderId="4" xfId="0" applyFont="1" applyFill="1" applyBorder="1" applyAlignment="1">
      <alignment horizontal="center" wrapText="1"/>
    </xf>
    <xf numFmtId="0" fontId="12" fillId="10" borderId="4" xfId="0" applyFont="1" applyFill="1" applyBorder="1" applyAlignment="1">
      <alignment horizontal="center" wrapText="1"/>
    </xf>
    <xf numFmtId="183" fontId="12" fillId="8" borderId="22" xfId="0" applyNumberFormat="1" applyFont="1" applyFill="1" applyBorder="1" applyAlignment="1">
      <alignment horizontal="center" vertical="top" wrapText="1"/>
    </xf>
    <xf numFmtId="0" fontId="12" fillId="8" borderId="6" xfId="0" applyFont="1" applyFill="1" applyBorder="1" applyAlignment="1">
      <alignment horizontal="center" vertical="top" wrapText="1"/>
    </xf>
    <xf numFmtId="0" fontId="18" fillId="0" borderId="4" xfId="0" applyFont="1" applyBorder="1" applyAlignment="1">
      <alignment horizontal="center" wrapText="1"/>
    </xf>
    <xf numFmtId="0" fontId="18" fillId="0" borderId="6" xfId="0" applyFont="1" applyBorder="1" applyAlignment="1">
      <alignment horizontal="center" wrapText="1"/>
    </xf>
    <xf numFmtId="0" fontId="14" fillId="0" borderId="18" xfId="0" applyFont="1" applyBorder="1" applyAlignment="1">
      <alignment horizontal="center" wrapText="1"/>
    </xf>
    <xf numFmtId="2" fontId="16" fillId="11" borderId="23" xfId="0" applyNumberFormat="1" applyFont="1" applyFill="1" applyBorder="1" applyAlignment="1">
      <alignment horizontal="center" vertical="center"/>
    </xf>
    <xf numFmtId="2" fontId="16" fillId="0" borderId="23" xfId="0" applyNumberFormat="1" applyFont="1" applyFill="1" applyBorder="1" applyAlignment="1">
      <alignment horizontal="center" vertical="center"/>
    </xf>
    <xf numFmtId="183" fontId="12" fillId="8" borderId="4" xfId="0" applyNumberFormat="1" applyFont="1" applyFill="1" applyBorder="1" applyAlignment="1">
      <alignment horizontal="center" wrapText="1"/>
    </xf>
    <xf numFmtId="0" fontId="12" fillId="8" borderId="4" xfId="0" applyFont="1" applyFill="1" applyBorder="1" applyAlignment="1">
      <alignment horizontal="center" wrapText="1"/>
    </xf>
    <xf numFmtId="183" fontId="12" fillId="0" borderId="4" xfId="3" applyNumberFormat="1" applyFont="1" applyBorder="1" applyAlignment="1">
      <alignment horizontal="center" wrapText="1"/>
    </xf>
    <xf numFmtId="183" fontId="12" fillId="8" borderId="4" xfId="3" applyNumberFormat="1" applyFont="1" applyFill="1" applyBorder="1" applyAlignment="1">
      <alignment horizontal="center" wrapText="1"/>
    </xf>
    <xf numFmtId="183" fontId="12" fillId="0" borderId="4" xfId="0" applyNumberFormat="1" applyFont="1" applyBorder="1" applyAlignment="1">
      <alignment horizontal="center" wrapText="1"/>
    </xf>
    <xf numFmtId="184" fontId="12" fillId="8" borderId="4" xfId="0" applyNumberFormat="1" applyFont="1" applyFill="1" applyBorder="1" applyAlignment="1">
      <alignment horizontal="center" vertical="center" wrapText="1"/>
    </xf>
    <xf numFmtId="0" fontId="18" fillId="0" borderId="0" xfId="0" applyFont="1"/>
    <xf numFmtId="0" fontId="20" fillId="9" borderId="15" xfId="0" applyFont="1" applyFill="1" applyBorder="1" applyAlignment="1">
      <alignment horizontal="center"/>
    </xf>
    <xf numFmtId="0" fontId="20" fillId="9" borderId="10" xfId="0" applyFont="1" applyFill="1" applyBorder="1" applyAlignment="1">
      <alignment horizontal="center"/>
    </xf>
    <xf numFmtId="0" fontId="18" fillId="0" borderId="14" xfId="0" applyFont="1" applyBorder="1" applyAlignment="1">
      <alignment horizontal="center" vertical="top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183" fontId="18" fillId="8" borderId="15" xfId="0" applyNumberFormat="1" applyFont="1" applyFill="1" applyBorder="1" applyAlignment="1">
      <alignment horizontal="center" vertical="center" wrapText="1"/>
    </xf>
    <xf numFmtId="183" fontId="18" fillId="8" borderId="10" xfId="0" applyNumberFormat="1" applyFont="1" applyFill="1" applyBorder="1" applyAlignment="1">
      <alignment horizontal="center" vertical="center" wrapText="1"/>
    </xf>
    <xf numFmtId="183" fontId="18" fillId="8" borderId="11" xfId="0" applyNumberFormat="1" applyFont="1" applyFill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top" wrapText="1"/>
    </xf>
    <xf numFmtId="0" fontId="18" fillId="0" borderId="12" xfId="0" applyFont="1" applyBorder="1" applyAlignment="1">
      <alignment horizontal="center" vertical="top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184" fontId="22" fillId="10" borderId="26" xfId="0" applyNumberFormat="1" applyFont="1" applyFill="1" applyBorder="1" applyAlignment="1">
      <alignment horizontal="center" vertical="center" wrapText="1"/>
    </xf>
    <xf numFmtId="183" fontId="12" fillId="0" borderId="19" xfId="3" applyNumberFormat="1" applyFont="1" applyBorder="1" applyAlignment="1">
      <alignment horizontal="center" vertical="top" wrapText="1"/>
    </xf>
    <xf numFmtId="183" fontId="18" fillId="0" borderId="27" xfId="3" applyNumberFormat="1" applyFont="1" applyBorder="1" applyAlignment="1">
      <alignment horizontal="center" vertical="center" wrapText="1"/>
    </xf>
    <xf numFmtId="183" fontId="18" fillId="0" borderId="28" xfId="3" applyNumberFormat="1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184" fontId="22" fillId="10" borderId="30" xfId="0" applyNumberFormat="1" applyFont="1" applyFill="1" applyBorder="1" applyAlignment="1">
      <alignment horizontal="center" vertical="center" wrapText="1"/>
    </xf>
    <xf numFmtId="183" fontId="18" fillId="0" borderId="4" xfId="3" applyNumberFormat="1" applyFont="1" applyBorder="1" applyAlignment="1">
      <alignment horizontal="center" vertical="center" wrapText="1"/>
    </xf>
    <xf numFmtId="183" fontId="18" fillId="0" borderId="23" xfId="3" applyNumberFormat="1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184" fontId="12" fillId="0" borderId="32" xfId="0" applyNumberFormat="1" applyFont="1" applyBorder="1" applyAlignment="1">
      <alignment horizontal="center" vertical="center" wrapText="1"/>
    </xf>
    <xf numFmtId="184" fontId="18" fillId="0" borderId="33" xfId="0" applyNumberFormat="1" applyFont="1" applyBorder="1" applyAlignment="1">
      <alignment horizontal="center" vertical="center" wrapText="1"/>
    </xf>
    <xf numFmtId="0" fontId="18" fillId="0" borderId="33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wrapText="1"/>
    </xf>
    <xf numFmtId="0" fontId="22" fillId="0" borderId="35" xfId="0" applyFont="1" applyBorder="1" applyAlignment="1">
      <alignment horizontal="center" vertical="center" wrapText="1"/>
    </xf>
    <xf numFmtId="0" fontId="18" fillId="0" borderId="36" xfId="0" applyFont="1" applyBorder="1" applyAlignment="1">
      <alignment horizontal="center" vertical="center" wrapText="1"/>
    </xf>
    <xf numFmtId="183" fontId="18" fillId="0" borderId="36" xfId="0" applyNumberFormat="1" applyFont="1" applyBorder="1" applyAlignment="1">
      <alignment horizontal="center" vertical="center" wrapText="1"/>
    </xf>
    <xf numFmtId="183" fontId="18" fillId="0" borderId="37" xfId="0" applyNumberFormat="1" applyFont="1" applyBorder="1" applyAlignment="1">
      <alignment horizontal="center" vertical="center" wrapText="1"/>
    </xf>
    <xf numFmtId="0" fontId="18" fillId="0" borderId="38" xfId="0" applyFont="1" applyBorder="1" applyAlignment="1">
      <alignment vertical="top" wrapText="1"/>
    </xf>
    <xf numFmtId="184" fontId="22" fillId="0" borderId="39" xfId="0" applyNumberFormat="1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184" fontId="22" fillId="0" borderId="19" xfId="0" applyNumberFormat="1" applyFont="1" applyBorder="1" applyAlignment="1">
      <alignment horizontal="center" vertical="center" wrapText="1"/>
    </xf>
    <xf numFmtId="184" fontId="18" fillId="0" borderId="19" xfId="0" applyNumberFormat="1" applyFont="1" applyBorder="1" applyAlignment="1">
      <alignment horizontal="center" vertical="center" wrapText="1"/>
    </xf>
    <xf numFmtId="184" fontId="18" fillId="0" borderId="40" xfId="0" applyNumberFormat="1" applyFont="1" applyBorder="1" applyAlignment="1">
      <alignment horizontal="center" vertical="center" wrapText="1"/>
    </xf>
    <xf numFmtId="0" fontId="18" fillId="0" borderId="41" xfId="0" applyFont="1" applyBorder="1" applyAlignment="1">
      <alignment vertical="top" wrapText="1"/>
    </xf>
    <xf numFmtId="184" fontId="22" fillId="0" borderId="30" xfId="0" applyNumberFormat="1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184" fontId="18" fillId="0" borderId="4" xfId="0" applyNumberFormat="1" applyFont="1" applyBorder="1" applyAlignment="1">
      <alignment horizontal="center" vertical="center" wrapText="1"/>
    </xf>
    <xf numFmtId="184" fontId="18" fillId="0" borderId="23" xfId="0" applyNumberFormat="1" applyFont="1" applyBorder="1" applyAlignment="1">
      <alignment horizontal="center" vertical="center" wrapText="1"/>
    </xf>
    <xf numFmtId="0" fontId="18" fillId="0" borderId="42" xfId="0" applyFont="1" applyBorder="1" applyAlignment="1">
      <alignment wrapText="1"/>
    </xf>
    <xf numFmtId="184" fontId="18" fillId="0" borderId="32" xfId="0" applyNumberFormat="1" applyFont="1" applyBorder="1" applyAlignment="1">
      <alignment horizontal="center" vertical="center" wrapText="1"/>
    </xf>
    <xf numFmtId="184" fontId="18" fillId="0" borderId="34" xfId="0" applyNumberFormat="1" applyFont="1" applyBorder="1" applyAlignment="1">
      <alignment horizontal="center" vertical="center" wrapText="1"/>
    </xf>
    <xf numFmtId="0" fontId="18" fillId="0" borderId="15" xfId="0" applyFont="1" applyBorder="1" applyAlignment="1">
      <alignment vertical="top" wrapText="1"/>
    </xf>
    <xf numFmtId="0" fontId="18" fillId="9" borderId="43" xfId="0" applyFont="1" applyFill="1" applyBorder="1"/>
    <xf numFmtId="184" fontId="18" fillId="9" borderId="38" xfId="0" applyNumberFormat="1" applyFont="1" applyFill="1" applyBorder="1" applyAlignment="1">
      <alignment horizontal="center" vertical="center"/>
    </xf>
    <xf numFmtId="0" fontId="18" fillId="9" borderId="29" xfId="0" applyFont="1" applyFill="1" applyBorder="1"/>
    <xf numFmtId="184" fontId="18" fillId="9" borderId="41" xfId="0" applyNumberFormat="1" applyFont="1" applyFill="1" applyBorder="1" applyAlignment="1">
      <alignment horizontal="center" vertical="center"/>
    </xf>
    <xf numFmtId="0" fontId="18" fillId="9" borderId="31" xfId="0" applyFont="1" applyFill="1" applyBorder="1"/>
    <xf numFmtId="184" fontId="18" fillId="9" borderId="42" xfId="0" applyNumberFormat="1" applyFont="1" applyFill="1" applyBorder="1" applyAlignment="1">
      <alignment horizontal="center" vertical="center"/>
    </xf>
    <xf numFmtId="0" fontId="19" fillId="0" borderId="13" xfId="0" applyFont="1" applyBorder="1" applyAlignment="1">
      <alignment horizontal="center" vertical="center" wrapText="1"/>
    </xf>
    <xf numFmtId="0" fontId="18" fillId="0" borderId="44" xfId="0" applyFont="1" applyBorder="1" applyAlignment="1">
      <alignment horizontal="center" vertical="center" wrapText="1"/>
    </xf>
    <xf numFmtId="184" fontId="22" fillId="10" borderId="45" xfId="0" applyNumberFormat="1" applyFont="1" applyFill="1" applyBorder="1" applyAlignment="1">
      <alignment horizontal="center" vertical="center" wrapText="1"/>
    </xf>
    <xf numFmtId="0" fontId="18" fillId="0" borderId="41" xfId="0" applyFont="1" applyBorder="1" applyAlignment="1">
      <alignment horizontal="center" vertical="center" wrapText="1"/>
    </xf>
    <xf numFmtId="184" fontId="22" fillId="10" borderId="6" xfId="0" applyNumberFormat="1" applyFont="1" applyFill="1" applyBorder="1" applyAlignment="1">
      <alignment horizontal="center" vertical="center" wrapText="1"/>
    </xf>
    <xf numFmtId="0" fontId="18" fillId="0" borderId="42" xfId="0" applyFont="1" applyBorder="1" applyAlignment="1">
      <alignment horizontal="center" vertical="center" wrapText="1"/>
    </xf>
    <xf numFmtId="0" fontId="22" fillId="0" borderId="46" xfId="0" applyFont="1" applyBorder="1" applyAlignment="1">
      <alignment horizontal="center" vertical="center" wrapText="1"/>
    </xf>
    <xf numFmtId="0" fontId="22" fillId="0" borderId="47" xfId="0" applyFont="1" applyBorder="1" applyAlignment="1">
      <alignment horizontal="center" vertical="center" wrapText="1"/>
    </xf>
    <xf numFmtId="0" fontId="18" fillId="0" borderId="48" xfId="0" applyFont="1" applyBorder="1" applyAlignment="1">
      <alignment horizontal="center" vertical="center" wrapText="1"/>
    </xf>
    <xf numFmtId="183" fontId="18" fillId="0" borderId="48" xfId="0" applyNumberFormat="1" applyFont="1" applyBorder="1" applyAlignment="1">
      <alignment horizontal="center" vertical="center" wrapText="1"/>
    </xf>
    <xf numFmtId="183" fontId="18" fillId="0" borderId="49" xfId="0" applyNumberFormat="1" applyFont="1" applyBorder="1" applyAlignment="1">
      <alignment horizontal="center" vertical="center" wrapText="1"/>
    </xf>
    <xf numFmtId="0" fontId="22" fillId="0" borderId="39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 wrapText="1"/>
    </xf>
    <xf numFmtId="0" fontId="18" fillId="0" borderId="32" xfId="0" applyFont="1" applyBorder="1" applyAlignment="1">
      <alignment horizontal="center" vertical="center" wrapText="1"/>
    </xf>
    <xf numFmtId="2" fontId="22" fillId="10" borderId="26" xfId="0" applyNumberFormat="1" applyFont="1" applyFill="1" applyBorder="1" applyAlignment="1">
      <alignment horizontal="center" vertical="center" wrapText="1"/>
    </xf>
    <xf numFmtId="2" fontId="22" fillId="10" borderId="30" xfId="0" applyNumberFormat="1" applyFont="1" applyFill="1" applyBorder="1" applyAlignment="1">
      <alignment horizontal="center" vertical="center" wrapText="1"/>
    </xf>
    <xf numFmtId="2" fontId="22" fillId="0" borderId="32" xfId="0" applyNumberFormat="1" applyFont="1" applyBorder="1" applyAlignment="1">
      <alignment horizontal="center" vertical="center" wrapText="1"/>
    </xf>
    <xf numFmtId="2" fontId="22" fillId="0" borderId="19" xfId="0" applyNumberFormat="1" applyFont="1" applyBorder="1" applyAlignment="1">
      <alignment horizontal="center" vertical="center" wrapText="1"/>
    </xf>
    <xf numFmtId="2" fontId="18" fillId="0" borderId="19" xfId="0" applyNumberFormat="1" applyFont="1" applyBorder="1" applyAlignment="1">
      <alignment horizontal="center" vertical="center" wrapText="1"/>
    </xf>
    <xf numFmtId="2" fontId="18" fillId="0" borderId="40" xfId="0" applyNumberFormat="1" applyFont="1" applyBorder="1" applyAlignment="1">
      <alignment horizontal="center" vertical="center" wrapText="1"/>
    </xf>
    <xf numFmtId="2" fontId="18" fillId="0" borderId="4" xfId="0" applyNumberFormat="1" applyFont="1" applyBorder="1" applyAlignment="1">
      <alignment horizontal="center" vertical="center" wrapText="1"/>
    </xf>
    <xf numFmtId="2" fontId="18" fillId="0" borderId="23" xfId="0" applyNumberFormat="1" applyFont="1" applyBorder="1" applyAlignment="1">
      <alignment horizontal="center" vertical="center" wrapText="1"/>
    </xf>
    <xf numFmtId="2" fontId="18" fillId="0" borderId="33" xfId="0" applyNumberFormat="1" applyFont="1" applyBorder="1" applyAlignment="1">
      <alignment horizontal="center" vertical="center" wrapText="1"/>
    </xf>
    <xf numFmtId="2" fontId="18" fillId="0" borderId="34" xfId="0" applyNumberFormat="1" applyFont="1" applyBorder="1" applyAlignment="1">
      <alignment horizontal="center" vertical="center" wrapText="1"/>
    </xf>
    <xf numFmtId="2" fontId="18" fillId="9" borderId="38" xfId="0" applyNumberFormat="1" applyFont="1" applyFill="1" applyBorder="1" applyAlignment="1">
      <alignment horizontal="center" vertical="center"/>
    </xf>
    <xf numFmtId="2" fontId="18" fillId="9" borderId="41" xfId="0" applyNumberFormat="1" applyFont="1" applyFill="1" applyBorder="1" applyAlignment="1">
      <alignment horizontal="center" vertical="center"/>
    </xf>
    <xf numFmtId="2" fontId="18" fillId="9" borderId="42" xfId="0" applyNumberFormat="1" applyFont="1" applyFill="1" applyBorder="1" applyAlignment="1">
      <alignment horizontal="center" vertical="center"/>
    </xf>
    <xf numFmtId="184" fontId="22" fillId="0" borderId="46" xfId="0" applyNumberFormat="1" applyFont="1" applyBorder="1" applyAlignment="1">
      <alignment horizontal="center" vertical="center" wrapText="1"/>
    </xf>
    <xf numFmtId="0" fontId="18" fillId="9" borderId="0" xfId="0" applyFont="1" applyFill="1" applyBorder="1"/>
    <xf numFmtId="184" fontId="18" fillId="9" borderId="0" xfId="0" applyNumberFormat="1" applyFont="1" applyFill="1" applyBorder="1" applyAlignment="1">
      <alignment horizontal="center" vertical="center"/>
    </xf>
    <xf numFmtId="184" fontId="22" fillId="3" borderId="19" xfId="0" applyNumberFormat="1" applyFont="1" applyFill="1" applyBorder="1" applyAlignment="1">
      <alignment horizontal="center" vertical="center" wrapText="1"/>
    </xf>
    <xf numFmtId="0" fontId="23" fillId="0" borderId="0" xfId="0" applyFont="1"/>
    <xf numFmtId="10" fontId="18" fillId="0" borderId="0" xfId="0" applyNumberFormat="1" applyFont="1"/>
    <xf numFmtId="0" fontId="22" fillId="10" borderId="26" xfId="0" applyFont="1" applyFill="1" applyBorder="1" applyAlignment="1">
      <alignment horizontal="center" vertical="center" wrapText="1"/>
    </xf>
    <xf numFmtId="0" fontId="22" fillId="10" borderId="30" xfId="0" applyFont="1" applyFill="1" applyBorder="1" applyAlignment="1">
      <alignment horizontal="center" vertical="center" wrapText="1"/>
    </xf>
    <xf numFmtId="0" fontId="22" fillId="10" borderId="45" xfId="0" applyFont="1" applyFill="1" applyBorder="1" applyAlignment="1">
      <alignment horizontal="center" vertical="center" wrapText="1"/>
    </xf>
    <xf numFmtId="0" fontId="22" fillId="10" borderId="6" xfId="0" applyFont="1" applyFill="1" applyBorder="1" applyAlignment="1">
      <alignment horizontal="center" vertical="center" wrapText="1"/>
    </xf>
    <xf numFmtId="0" fontId="18" fillId="9" borderId="38" xfId="0" applyFont="1" applyFill="1" applyBorder="1" applyAlignment="1">
      <alignment horizontal="center" vertical="center"/>
    </xf>
    <xf numFmtId="185" fontId="18" fillId="9" borderId="41" xfId="0" applyNumberFormat="1" applyFont="1" applyFill="1" applyBorder="1" applyAlignment="1">
      <alignment horizontal="center" vertical="center"/>
    </xf>
    <xf numFmtId="185" fontId="18" fillId="9" borderId="42" xfId="0" applyNumberFormat="1" applyFont="1" applyFill="1" applyBorder="1" applyAlignment="1">
      <alignment horizontal="center" vertical="center"/>
    </xf>
    <xf numFmtId="0" fontId="12" fillId="0" borderId="14" xfId="0" applyFont="1" applyBorder="1" applyAlignment="1">
      <alignment horizontal="center" vertical="top" wrapText="1"/>
    </xf>
    <xf numFmtId="0" fontId="12" fillId="0" borderId="17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top" wrapText="1"/>
    </xf>
    <xf numFmtId="2" fontId="12" fillId="0" borderId="4" xfId="0" applyNumberFormat="1" applyFont="1" applyBorder="1" applyAlignment="1">
      <alignment horizontal="center" vertical="top" wrapText="1"/>
    </xf>
    <xf numFmtId="0" fontId="12" fillId="0" borderId="12" xfId="0" applyFont="1" applyBorder="1" applyAlignment="1">
      <alignment vertical="top" wrapText="1"/>
    </xf>
    <xf numFmtId="0" fontId="12" fillId="0" borderId="12" xfId="0" applyFont="1" applyBorder="1" applyAlignment="1">
      <alignment horizontal="center" wrapText="1"/>
    </xf>
    <xf numFmtId="0" fontId="12" fillId="10" borderId="12" xfId="0" applyFont="1" applyFill="1" applyBorder="1" applyAlignment="1">
      <alignment horizontal="center" vertical="center" wrapText="1"/>
    </xf>
    <xf numFmtId="0" fontId="12" fillId="10" borderId="12" xfId="0" applyFont="1" applyFill="1" applyBorder="1" applyAlignment="1">
      <alignment horizontal="center" wrapText="1"/>
    </xf>
    <xf numFmtId="0" fontId="17" fillId="0" borderId="13" xfId="0" applyFont="1" applyBorder="1" applyAlignment="1">
      <alignment horizontal="center" wrapText="1"/>
    </xf>
    <xf numFmtId="183" fontId="12" fillId="0" borderId="0" xfId="0" applyNumberFormat="1" applyFont="1" applyBorder="1" applyAlignment="1">
      <alignment horizontal="center" vertical="top" wrapText="1"/>
    </xf>
    <xf numFmtId="183" fontId="12" fillId="8" borderId="0" xfId="0" applyNumberFormat="1" applyFont="1" applyFill="1" applyBorder="1" applyAlignment="1">
      <alignment horizontal="center" vertical="top" wrapText="1"/>
    </xf>
    <xf numFmtId="185" fontId="12" fillId="0" borderId="13" xfId="0" applyNumberFormat="1" applyFont="1" applyBorder="1" applyAlignment="1">
      <alignment horizontal="center" vertical="top" wrapText="1"/>
    </xf>
    <xf numFmtId="185" fontId="12" fillId="8" borderId="13" xfId="0" applyNumberFormat="1" applyFont="1" applyFill="1" applyBorder="1" applyAlignment="1">
      <alignment horizontal="center" vertical="top" wrapText="1"/>
    </xf>
    <xf numFmtId="185" fontId="15" fillId="8" borderId="13" xfId="0" applyNumberFormat="1" applyFont="1" applyFill="1" applyBorder="1" applyAlignment="1">
      <alignment horizontal="center" wrapText="1"/>
    </xf>
    <xf numFmtId="0" fontId="12" fillId="0" borderId="12" xfId="0" applyFont="1" applyBorder="1" applyAlignment="1">
      <alignment wrapText="1"/>
    </xf>
    <xf numFmtId="0" fontId="0" fillId="8" borderId="4" xfId="0" applyFill="1" applyBorder="1"/>
    <xf numFmtId="0" fontId="12" fillId="0" borderId="15" xfId="0" applyFont="1" applyBorder="1" applyAlignment="1">
      <alignment horizontal="center" wrapText="1"/>
    </xf>
    <xf numFmtId="0" fontId="12" fillId="0" borderId="16" xfId="0" applyFont="1" applyBorder="1" applyAlignment="1">
      <alignment horizontal="center" wrapText="1"/>
    </xf>
    <xf numFmtId="0" fontId="12" fillId="0" borderId="11" xfId="0" applyFont="1" applyBorder="1" applyAlignment="1">
      <alignment horizontal="center" wrapText="1"/>
    </xf>
    <xf numFmtId="0" fontId="18" fillId="0" borderId="13" xfId="0" applyFont="1" applyBorder="1" applyAlignment="1">
      <alignment horizontal="center" wrapText="1"/>
    </xf>
    <xf numFmtId="0" fontId="12" fillId="0" borderId="10" xfId="0" applyFont="1" applyBorder="1" applyAlignment="1">
      <alignment horizontal="center" vertical="center" wrapText="1"/>
    </xf>
    <xf numFmtId="0" fontId="12" fillId="9" borderId="15" xfId="0" applyFont="1" applyFill="1" applyBorder="1" applyAlignment="1">
      <alignment horizontal="center" wrapText="1"/>
    </xf>
    <xf numFmtId="0" fontId="12" fillId="9" borderId="16" xfId="0" applyFont="1" applyFill="1" applyBorder="1" applyAlignment="1">
      <alignment horizontal="center" wrapText="1"/>
    </xf>
    <xf numFmtId="0" fontId="12" fillId="9" borderId="11" xfId="0" applyFont="1" applyFill="1" applyBorder="1" applyAlignment="1">
      <alignment horizontal="center" wrapText="1"/>
    </xf>
    <xf numFmtId="0" fontId="12" fillId="8" borderId="24" xfId="0" applyFont="1" applyFill="1" applyBorder="1" applyAlignment="1">
      <alignment horizontal="center" vertical="top" wrapText="1"/>
    </xf>
    <xf numFmtId="0" fontId="13" fillId="0" borderId="12" xfId="0" applyFont="1" applyBorder="1" applyAlignment="1">
      <alignment horizontal="center" wrapText="1"/>
    </xf>
    <xf numFmtId="0" fontId="14" fillId="0" borderId="21" xfId="0" applyFont="1" applyBorder="1" applyAlignment="1">
      <alignment horizontal="center" wrapText="1"/>
    </xf>
    <xf numFmtId="0" fontId="14" fillId="8" borderId="6" xfId="0" applyFont="1" applyFill="1" applyBorder="1" applyAlignment="1">
      <alignment horizontal="center" wrapText="1"/>
    </xf>
    <xf numFmtId="0" fontId="14" fillId="8" borderId="21" xfId="0" applyFont="1" applyFill="1" applyBorder="1" applyAlignment="1">
      <alignment horizontal="center" wrapText="1"/>
    </xf>
    <xf numFmtId="0" fontId="13" fillId="0" borderId="13" xfId="0" applyFont="1" applyBorder="1" applyAlignment="1">
      <alignment horizontal="center" wrapText="1"/>
    </xf>
    <xf numFmtId="184" fontId="12" fillId="0" borderId="4" xfId="0" applyNumberFormat="1" applyFont="1" applyBorder="1" applyAlignment="1">
      <alignment horizontal="center" wrapText="1"/>
    </xf>
    <xf numFmtId="0" fontId="12" fillId="0" borderId="50" xfId="0" applyFont="1" applyBorder="1" applyAlignment="1">
      <alignment horizontal="center" wrapText="1"/>
    </xf>
    <xf numFmtId="0" fontId="12" fillId="0" borderId="4" xfId="0" applyFont="1" applyFill="1" applyBorder="1" applyAlignment="1">
      <alignment horizontal="center" wrapText="1"/>
    </xf>
    <xf numFmtId="0" fontId="15" fillId="0" borderId="13" xfId="0" applyFont="1" applyBorder="1" applyAlignment="1">
      <alignment horizont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wrapText="1"/>
    </xf>
    <xf numFmtId="0" fontId="15" fillId="10" borderId="8" xfId="0" applyFont="1" applyFill="1" applyBorder="1" applyAlignment="1">
      <alignment horizontal="center" wrapText="1"/>
    </xf>
    <xf numFmtId="0" fontId="12" fillId="0" borderId="0" xfId="0" applyFont="1" applyBorder="1" applyAlignment="1">
      <alignment wrapText="1"/>
    </xf>
    <xf numFmtId="2" fontId="12" fillId="0" borderId="0" xfId="0" applyNumberFormat="1" applyFont="1" applyBorder="1" applyAlignment="1">
      <alignment horizontal="center" vertical="top" wrapText="1"/>
    </xf>
    <xf numFmtId="0" fontId="12" fillId="8" borderId="0" xfId="0" applyFont="1" applyFill="1" applyBorder="1" applyAlignment="1">
      <alignment horizontal="center" vertical="top" wrapText="1"/>
    </xf>
    <xf numFmtId="0" fontId="12" fillId="0" borderId="0" xfId="0" applyFont="1" applyBorder="1" applyAlignment="1">
      <alignment horizontal="center" wrapText="1"/>
    </xf>
    <xf numFmtId="0" fontId="24" fillId="0" borderId="4" xfId="0" applyFont="1" applyBorder="1" applyAlignment="1">
      <alignment horizontal="center" vertical="center"/>
    </xf>
    <xf numFmtId="0" fontId="15" fillId="10" borderId="4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186" fontId="24" fillId="0" borderId="0" xfId="0" applyNumberFormat="1" applyFont="1" applyAlignment="1">
      <alignment horizontal="center" vertical="center"/>
    </xf>
    <xf numFmtId="0" fontId="15" fillId="0" borderId="8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0" fontId="16" fillId="10" borderId="4" xfId="0" applyFont="1" applyFill="1" applyBorder="1" applyAlignment="1">
      <alignment horizontal="center" wrapText="1"/>
    </xf>
    <xf numFmtId="0" fontId="15" fillId="0" borderId="0" xfId="0" applyFont="1" applyAlignment="1">
      <alignment horizontal="center" vertical="center"/>
    </xf>
    <xf numFmtId="183" fontId="12" fillId="0" borderId="4" xfId="3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wrapText="1"/>
    </xf>
    <xf numFmtId="0" fontId="25" fillId="0" borderId="4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/>
    </xf>
    <xf numFmtId="0" fontId="16" fillId="0" borderId="4" xfId="0" applyFont="1" applyBorder="1"/>
    <xf numFmtId="2" fontId="16" fillId="0" borderId="4" xfId="0" applyNumberFormat="1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wrapText="1"/>
    </xf>
    <xf numFmtId="0" fontId="12" fillId="0" borderId="19" xfId="0" applyFont="1" applyBorder="1" applyAlignment="1">
      <alignment horizontal="center" wrapText="1"/>
    </xf>
    <xf numFmtId="0" fontId="17" fillId="0" borderId="4" xfId="0" applyFont="1" applyBorder="1" applyAlignment="1">
      <alignment horizontal="center" vertical="top" wrapText="1"/>
    </xf>
    <xf numFmtId="2" fontId="17" fillId="9" borderId="4" xfId="0" applyNumberFormat="1" applyFont="1" applyFill="1" applyBorder="1" applyAlignment="1">
      <alignment horizontal="center" vertical="top" wrapText="1"/>
    </xf>
    <xf numFmtId="0" fontId="12" fillId="10" borderId="4" xfId="0" applyFont="1" applyFill="1" applyBorder="1" applyAlignment="1">
      <alignment horizontal="center" vertical="center" wrapText="1"/>
    </xf>
    <xf numFmtId="2" fontId="12" fillId="0" borderId="4" xfId="0" applyNumberFormat="1" applyFont="1" applyBorder="1" applyAlignment="1">
      <alignment horizontal="center" wrapText="1"/>
    </xf>
    <xf numFmtId="2" fontId="17" fillId="0" borderId="4" xfId="0" applyNumberFormat="1" applyFont="1" applyBorder="1" applyAlignment="1">
      <alignment horizontal="center" vertical="top" wrapText="1"/>
    </xf>
    <xf numFmtId="0" fontId="17" fillId="9" borderId="4" xfId="0" applyFont="1" applyFill="1" applyBorder="1" applyAlignment="1">
      <alignment horizontal="center" wrapText="1"/>
    </xf>
    <xf numFmtId="185" fontId="12" fillId="10" borderId="12" xfId="0" applyNumberFormat="1" applyFont="1" applyFill="1" applyBorder="1" applyAlignment="1">
      <alignment horizontal="center" vertical="center" wrapText="1"/>
    </xf>
    <xf numFmtId="185" fontId="12" fillId="10" borderId="12" xfId="0" applyNumberFormat="1" applyFont="1" applyFill="1" applyBorder="1" applyAlignment="1">
      <alignment horizontal="center" wrapText="1"/>
    </xf>
    <xf numFmtId="185" fontId="12" fillId="0" borderId="12" xfId="0" applyNumberFormat="1" applyFont="1" applyBorder="1" applyAlignment="1">
      <alignment horizontal="center" wrapText="1"/>
    </xf>
    <xf numFmtId="2" fontId="12" fillId="0" borderId="10" xfId="0" applyNumberFormat="1" applyFont="1" applyBorder="1" applyAlignment="1">
      <alignment horizontal="center" vertical="center" wrapText="1"/>
    </xf>
    <xf numFmtId="2" fontId="12" fillId="0" borderId="12" xfId="0" applyNumberFormat="1" applyFont="1" applyBorder="1" applyAlignment="1">
      <alignment horizontal="center" vertical="center" wrapText="1"/>
    </xf>
    <xf numFmtId="2" fontId="12" fillId="10" borderId="12" xfId="0" applyNumberFormat="1" applyFont="1" applyFill="1" applyBorder="1" applyAlignment="1">
      <alignment horizontal="center" wrapText="1"/>
    </xf>
    <xf numFmtId="2" fontId="12" fillId="10" borderId="12" xfId="0" applyNumberFormat="1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26" fillId="12" borderId="0" xfId="50" applyFont="1" applyFill="1" applyAlignment="1" applyProtection="1">
      <alignment vertical="center"/>
      <protection hidden="1"/>
    </xf>
    <xf numFmtId="0" fontId="26" fillId="0" borderId="0" xfId="50" applyFont="1" applyProtection="1">
      <protection hidden="1"/>
    </xf>
    <xf numFmtId="0" fontId="26" fillId="0" borderId="0" xfId="0" applyFont="1" applyAlignment="1">
      <alignment vertical="center"/>
    </xf>
    <xf numFmtId="0" fontId="26" fillId="0" borderId="0" xfId="0" applyFont="1"/>
    <xf numFmtId="0" fontId="27" fillId="12" borderId="0" xfId="50" applyFont="1" applyFill="1" applyAlignment="1" applyProtection="1">
      <alignment vertical="center"/>
      <protection hidden="1"/>
    </xf>
    <xf numFmtId="0" fontId="28" fillId="12" borderId="0" xfId="50" applyFont="1" applyFill="1" applyAlignment="1" applyProtection="1">
      <alignment vertical="center"/>
      <protection hidden="1"/>
    </xf>
    <xf numFmtId="0" fontId="29" fillId="12" borderId="0" xfId="6" applyFont="1" applyFill="1" applyAlignment="1" applyProtection="1">
      <alignment vertical="center"/>
      <protection hidden="1"/>
    </xf>
    <xf numFmtId="0" fontId="26" fillId="4" borderId="0" xfId="50" applyFont="1" applyFill="1" applyProtection="1">
      <protection hidden="1"/>
    </xf>
    <xf numFmtId="0" fontId="26" fillId="4" borderId="0" xfId="50" applyFont="1" applyFill="1" applyAlignment="1" applyProtection="1">
      <alignment vertical="center"/>
      <protection hidden="1"/>
    </xf>
    <xf numFmtId="0" fontId="26" fillId="13" borderId="4" xfId="50" applyFont="1" applyFill="1" applyBorder="1" applyAlignment="1" applyProtection="1">
      <alignment horizontal="center" vertical="center" wrapText="1"/>
      <protection hidden="1"/>
    </xf>
    <xf numFmtId="0" fontId="26" fillId="13" borderId="4" xfId="50" applyFont="1" applyFill="1" applyBorder="1" applyAlignment="1" applyProtection="1">
      <alignment horizontal="center" vertical="center"/>
      <protection hidden="1"/>
    </xf>
    <xf numFmtId="49" fontId="26" fillId="13" borderId="4" xfId="50" applyNumberFormat="1" applyFont="1" applyFill="1" applyBorder="1" applyAlignment="1" applyProtection="1">
      <alignment horizontal="center" vertical="center" wrapText="1"/>
      <protection hidden="1"/>
    </xf>
    <xf numFmtId="0" fontId="30" fillId="13" borderId="4" xfId="50" applyFont="1" applyFill="1" applyBorder="1" applyAlignment="1" applyProtection="1">
      <alignment horizontal="right" vertical="center" wrapText="1"/>
      <protection hidden="1"/>
    </xf>
    <xf numFmtId="0" fontId="30" fillId="0" borderId="4" xfId="0" applyFont="1" applyFill="1" applyBorder="1" applyAlignment="1" applyProtection="1">
      <alignment horizontal="center" vertical="center"/>
      <protection locked="0"/>
    </xf>
    <xf numFmtId="0" fontId="30" fillId="0" borderId="4" xfId="50" applyFont="1" applyFill="1" applyBorder="1" applyAlignment="1" applyProtection="1">
      <alignment horizontal="left" vertical="center" wrapText="1"/>
      <protection hidden="1"/>
    </xf>
    <xf numFmtId="49" fontId="26" fillId="4" borderId="4" xfId="50" applyNumberFormat="1" applyFont="1" applyFill="1" applyBorder="1" applyAlignment="1" applyProtection="1">
      <alignment horizontal="center" vertical="center"/>
      <protection hidden="1"/>
    </xf>
    <xf numFmtId="0" fontId="30" fillId="4" borderId="4" xfId="50" applyFont="1" applyFill="1" applyBorder="1" applyAlignment="1" applyProtection="1">
      <alignment horizontal="left" vertical="center" wrapText="1"/>
      <protection hidden="1"/>
    </xf>
    <xf numFmtId="0" fontId="31" fillId="14" borderId="3" xfId="0" applyFont="1" applyFill="1" applyBorder="1" applyAlignment="1">
      <alignment horizontal="center" vertical="center"/>
    </xf>
    <xf numFmtId="0" fontId="31" fillId="14" borderId="9" xfId="0" applyFont="1" applyFill="1" applyBorder="1" applyAlignment="1">
      <alignment horizontal="center" vertical="center"/>
    </xf>
    <xf numFmtId="0" fontId="31" fillId="14" borderId="6" xfId="0" applyFont="1" applyFill="1" applyBorder="1" applyAlignment="1">
      <alignment horizontal="center" vertical="center"/>
    </xf>
    <xf numFmtId="0" fontId="32" fillId="13" borderId="4" xfId="0" applyFont="1" applyFill="1" applyBorder="1" applyAlignment="1">
      <alignment horizontal="right" vertical="center" wrapText="1"/>
    </xf>
    <xf numFmtId="0" fontId="31" fillId="13" borderId="4" xfId="0" applyFont="1" applyFill="1" applyBorder="1" applyAlignment="1">
      <alignment horizontal="center" vertical="center"/>
    </xf>
    <xf numFmtId="0" fontId="31" fillId="0" borderId="4" xfId="0" applyFont="1" applyBorder="1" applyAlignment="1" applyProtection="1">
      <alignment horizontal="center" vertical="center"/>
      <protection locked="0"/>
    </xf>
    <xf numFmtId="0" fontId="32" fillId="13" borderId="4" xfId="0" applyFont="1" applyFill="1" applyBorder="1" applyAlignment="1">
      <alignment horizontal="right" vertical="center"/>
    </xf>
    <xf numFmtId="0" fontId="26" fillId="13" borderId="4" xfId="0" applyFont="1" applyFill="1" applyBorder="1" applyAlignment="1">
      <alignment horizontal="right" vertical="center" wrapText="1"/>
    </xf>
    <xf numFmtId="0" fontId="26" fillId="13" borderId="4" xfId="0" applyFont="1" applyFill="1" applyBorder="1" applyAlignment="1" applyProtection="1">
      <alignment horizontal="center" vertical="center" wrapText="1"/>
      <protection hidden="1"/>
    </xf>
    <xf numFmtId="0" fontId="26" fillId="14" borderId="4" xfId="0" applyFont="1" applyFill="1" applyBorder="1" applyAlignment="1">
      <alignment horizontal="center" vertical="center"/>
    </xf>
    <xf numFmtId="0" fontId="26" fillId="0" borderId="4" xfId="0" applyFont="1" applyFill="1" applyBorder="1" applyAlignment="1">
      <alignment horizontal="center" vertical="center"/>
    </xf>
    <xf numFmtId="0" fontId="26" fillId="14" borderId="4" xfId="0" applyFont="1" applyFill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/>
    </xf>
    <xf numFmtId="0" fontId="26" fillId="0" borderId="4" xfId="0" applyFont="1" applyBorder="1" applyAlignment="1" applyProtection="1">
      <alignment horizontal="center" vertical="center"/>
      <protection locked="0"/>
    </xf>
    <xf numFmtId="0" fontId="26" fillId="14" borderId="4" xfId="50" applyFont="1" applyFill="1" applyBorder="1" applyAlignment="1" applyProtection="1">
      <alignment horizontal="right" vertical="center" wrapText="1"/>
      <protection hidden="1"/>
    </xf>
    <xf numFmtId="0" fontId="30" fillId="4" borderId="0" xfId="50" applyFont="1" applyFill="1" applyAlignment="1" applyProtection="1">
      <alignment vertical="center" wrapText="1"/>
      <protection hidden="1"/>
    </xf>
    <xf numFmtId="0" fontId="31" fillId="15" borderId="4" xfId="0" applyFont="1" applyFill="1" applyBorder="1" applyAlignment="1">
      <alignment horizontal="center" vertical="center"/>
    </xf>
    <xf numFmtId="0" fontId="26" fillId="0" borderId="0" xfId="52" applyFont="1" applyProtection="1">
      <protection hidden="1"/>
    </xf>
    <xf numFmtId="0" fontId="30" fillId="13" borderId="4" xfId="50" applyFont="1" applyFill="1" applyBorder="1" applyAlignment="1" applyProtection="1">
      <alignment horizontal="right" vertical="center"/>
      <protection hidden="1"/>
    </xf>
    <xf numFmtId="0" fontId="26" fillId="0" borderId="4" xfId="50" applyFont="1" applyFill="1" applyBorder="1" applyAlignment="1" applyProtection="1">
      <alignment horizontal="center" vertical="center"/>
      <protection locked="0"/>
    </xf>
    <xf numFmtId="0" fontId="30" fillId="0" borderId="4" xfId="0" applyFont="1" applyFill="1" applyBorder="1" applyAlignment="1">
      <alignment vertical="center" wrapText="1"/>
    </xf>
    <xf numFmtId="187" fontId="26" fillId="4" borderId="4" xfId="50" applyNumberFormat="1" applyFont="1" applyFill="1" applyBorder="1" applyAlignment="1" applyProtection="1">
      <alignment horizontal="center" vertical="center"/>
      <protection hidden="1"/>
    </xf>
    <xf numFmtId="0" fontId="30" fillId="4" borderId="4" xfId="50" applyFont="1" applyFill="1" applyBorder="1" applyAlignment="1" applyProtection="1">
      <alignment horizontal="left" vertical="top" wrapText="1"/>
      <protection hidden="1"/>
    </xf>
    <xf numFmtId="0" fontId="31" fillId="14" borderId="3" xfId="0" applyFont="1" applyFill="1" applyBorder="1" applyAlignment="1">
      <alignment horizontal="left" vertical="center"/>
    </xf>
    <xf numFmtId="0" fontId="31" fillId="14" borderId="9" xfId="0" applyFont="1" applyFill="1" applyBorder="1" applyAlignment="1">
      <alignment horizontal="left" vertical="center"/>
    </xf>
    <xf numFmtId="0" fontId="31" fillId="14" borderId="6" xfId="0" applyFont="1" applyFill="1" applyBorder="1" applyAlignment="1">
      <alignment horizontal="left" vertical="center"/>
    </xf>
    <xf numFmtId="0" fontId="30" fillId="13" borderId="4" xfId="50" applyFont="1" applyFill="1" applyBorder="1" applyAlignment="1" applyProtection="1">
      <alignment horizontal="center" vertical="center" wrapText="1"/>
      <protection hidden="1"/>
    </xf>
    <xf numFmtId="0" fontId="31" fillId="0" borderId="4" xfId="0" applyFont="1" applyBorder="1" applyAlignment="1">
      <alignment horizontal="center" vertical="center"/>
    </xf>
    <xf numFmtId="0" fontId="33" fillId="0" borderId="4" xfId="0" applyFont="1" applyBorder="1" applyAlignment="1" applyProtection="1">
      <alignment horizontal="center" vertical="center"/>
      <protection locked="0"/>
    </xf>
    <xf numFmtId="187" fontId="26" fillId="4" borderId="18" xfId="50" applyNumberFormat="1" applyFont="1" applyFill="1" applyBorder="1" applyAlignment="1" applyProtection="1">
      <alignment horizontal="center" vertical="center"/>
      <protection hidden="1"/>
    </xf>
    <xf numFmtId="0" fontId="30" fillId="4" borderId="7" xfId="50" applyFont="1" applyFill="1" applyBorder="1" applyAlignment="1" applyProtection="1">
      <alignment horizontal="left" vertical="top" wrapText="1"/>
      <protection hidden="1"/>
    </xf>
    <xf numFmtId="0" fontId="30" fillId="4" borderId="51" xfId="50" applyFont="1" applyFill="1" applyBorder="1" applyAlignment="1" applyProtection="1">
      <alignment horizontal="left" vertical="top" wrapText="1"/>
      <protection hidden="1"/>
    </xf>
    <xf numFmtId="0" fontId="30" fillId="4" borderId="52" xfId="50" applyFont="1" applyFill="1" applyBorder="1" applyAlignment="1" applyProtection="1">
      <alignment horizontal="left" vertical="top" wrapText="1"/>
      <protection hidden="1"/>
    </xf>
    <xf numFmtId="187" fontId="26" fillId="4" borderId="19" xfId="50" applyNumberFormat="1" applyFont="1" applyFill="1" applyBorder="1" applyAlignment="1" applyProtection="1">
      <alignment horizontal="center" vertical="center"/>
      <protection hidden="1"/>
    </xf>
    <xf numFmtId="0" fontId="30" fillId="4" borderId="1" xfId="50" applyFont="1" applyFill="1" applyBorder="1" applyAlignment="1" applyProtection="1">
      <alignment horizontal="left" vertical="top" wrapText="1"/>
      <protection hidden="1"/>
    </xf>
    <xf numFmtId="0" fontId="30" fillId="4" borderId="5" xfId="50" applyFont="1" applyFill="1" applyBorder="1" applyAlignment="1" applyProtection="1">
      <alignment horizontal="left" vertical="top" wrapText="1"/>
      <protection hidden="1"/>
    </xf>
    <xf numFmtId="0" fontId="30" fillId="4" borderId="2" xfId="50" applyFont="1" applyFill="1" applyBorder="1" applyAlignment="1" applyProtection="1">
      <alignment horizontal="left" vertical="top" wrapText="1"/>
      <protection hidden="1"/>
    </xf>
    <xf numFmtId="0" fontId="30" fillId="0" borderId="7" xfId="52" applyFont="1" applyBorder="1" applyAlignment="1" applyProtection="1">
      <alignment horizontal="center" vertical="center" wrapText="1"/>
      <protection hidden="1"/>
    </xf>
    <xf numFmtId="0" fontId="30" fillId="0" borderId="51" xfId="52" applyFont="1" applyBorder="1" applyAlignment="1" applyProtection="1">
      <alignment horizontal="center" vertical="center" wrapText="1"/>
      <protection hidden="1"/>
    </xf>
    <xf numFmtId="0" fontId="30" fillId="0" borderId="52" xfId="52" applyFont="1" applyBorder="1" applyAlignment="1" applyProtection="1">
      <alignment horizontal="center" vertical="center" wrapText="1"/>
      <protection hidden="1"/>
    </xf>
    <xf numFmtId="0" fontId="30" fillId="0" borderId="53" xfId="52" applyFont="1" applyBorder="1" applyAlignment="1" applyProtection="1">
      <alignment horizontal="center" vertical="center" wrapText="1"/>
      <protection hidden="1"/>
    </xf>
    <xf numFmtId="0" fontId="30" fillId="0" borderId="0" xfId="52" applyFont="1" applyBorder="1" applyAlignment="1" applyProtection="1">
      <alignment horizontal="center" vertical="center" wrapText="1"/>
      <protection hidden="1"/>
    </xf>
    <xf numFmtId="0" fontId="30" fillId="0" borderId="54" xfId="52" applyFont="1" applyBorder="1" applyAlignment="1" applyProtection="1">
      <alignment horizontal="center" vertical="center" wrapText="1"/>
      <protection hidden="1"/>
    </xf>
    <xf numFmtId="0" fontId="30" fillId="0" borderId="1" xfId="52" applyFont="1" applyBorder="1" applyAlignment="1" applyProtection="1">
      <alignment horizontal="center" vertical="center" wrapText="1"/>
      <protection hidden="1"/>
    </xf>
    <xf numFmtId="0" fontId="30" fillId="0" borderId="5" xfId="52" applyFont="1" applyBorder="1" applyAlignment="1" applyProtection="1">
      <alignment horizontal="center" vertical="center" wrapText="1"/>
      <protection hidden="1"/>
    </xf>
    <xf numFmtId="0" fontId="30" fillId="0" borderId="2" xfId="52" applyFont="1" applyBorder="1" applyAlignment="1" applyProtection="1">
      <alignment horizontal="center" vertical="center" wrapText="1"/>
      <protection hidden="1"/>
    </xf>
    <xf numFmtId="184" fontId="33" fillId="0" borderId="4" xfId="0" applyNumberFormat="1" applyFont="1" applyBorder="1" applyAlignment="1" applyProtection="1">
      <alignment horizontal="center" vertical="center"/>
      <protection hidden="1"/>
    </xf>
    <xf numFmtId="0" fontId="30" fillId="0" borderId="4" xfId="52" applyFont="1" applyBorder="1" applyAlignment="1" applyProtection="1">
      <alignment horizontal="left" vertical="center" wrapText="1"/>
      <protection hidden="1"/>
    </xf>
    <xf numFmtId="0" fontId="26" fillId="4" borderId="0" xfId="50" applyFont="1" applyFill="1" applyBorder="1" applyProtection="1">
      <protection hidden="1"/>
    </xf>
    <xf numFmtId="0" fontId="30" fillId="16" borderId="3" xfId="52" applyFont="1" applyFill="1" applyBorder="1" applyAlignment="1" applyProtection="1">
      <alignment horizontal="left" vertical="center" wrapText="1"/>
      <protection hidden="1"/>
    </xf>
    <xf numFmtId="0" fontId="30" fillId="16" borderId="9" xfId="52" applyFont="1" applyFill="1" applyBorder="1" applyAlignment="1" applyProtection="1">
      <alignment horizontal="left" vertical="center" wrapText="1"/>
      <protection hidden="1"/>
    </xf>
    <xf numFmtId="0" fontId="30" fillId="16" borderId="6" xfId="52" applyFont="1" applyFill="1" applyBorder="1" applyAlignment="1" applyProtection="1">
      <alignment horizontal="left" vertical="center" wrapText="1"/>
      <protection hidden="1"/>
    </xf>
    <xf numFmtId="0" fontId="28" fillId="17" borderId="0" xfId="50" applyFont="1" applyFill="1" applyProtection="1">
      <protection hidden="1"/>
    </xf>
    <xf numFmtId="0" fontId="26" fillId="5" borderId="0" xfId="50" applyFont="1" applyFill="1" applyProtection="1">
      <protection hidden="1"/>
    </xf>
    <xf numFmtId="184" fontId="26" fillId="0" borderId="0" xfId="52" applyNumberFormat="1" applyFont="1" applyProtection="1">
      <protection hidden="1"/>
    </xf>
    <xf numFmtId="0" fontId="26" fillId="4" borderId="4" xfId="50" applyFont="1" applyFill="1" applyBorder="1" applyAlignment="1" applyProtection="1">
      <alignment horizontal="center" vertical="center"/>
      <protection hidden="1"/>
    </xf>
    <xf numFmtId="0" fontId="34" fillId="13" borderId="4" xfId="50" applyFont="1" applyFill="1" applyBorder="1" applyAlignment="1" applyProtection="1">
      <alignment horizontal="right" vertical="center" wrapText="1"/>
      <protection hidden="1"/>
    </xf>
    <xf numFmtId="0" fontId="35" fillId="0" borderId="4" xfId="50" applyFont="1" applyFill="1" applyBorder="1" applyAlignment="1" applyProtection="1">
      <alignment horizontal="left" vertical="center" wrapText="1"/>
      <protection hidden="1"/>
    </xf>
    <xf numFmtId="0" fontId="36" fillId="4" borderId="4" xfId="50" applyFont="1" applyFill="1" applyBorder="1" applyAlignment="1" applyProtection="1">
      <alignment horizontal="center" vertical="center" wrapText="1"/>
      <protection hidden="1"/>
    </xf>
    <xf numFmtId="0" fontId="30" fillId="13" borderId="0" xfId="50" applyFont="1" applyFill="1" applyBorder="1" applyAlignment="1" applyProtection="1">
      <alignment horizontal="right" vertical="center" wrapText="1"/>
      <protection hidden="1"/>
    </xf>
    <xf numFmtId="2" fontId="30" fillId="0" borderId="0" xfId="0" applyNumberFormat="1" applyFont="1" applyFill="1" applyBorder="1" applyAlignment="1" applyProtection="1">
      <alignment horizontal="center" vertical="center"/>
      <protection locked="0"/>
    </xf>
    <xf numFmtId="0" fontId="30" fillId="0" borderId="0" xfId="50" applyFont="1" applyFill="1" applyBorder="1" applyAlignment="1" applyProtection="1">
      <alignment horizontal="left" vertical="center" wrapText="1"/>
      <protection hidden="1"/>
    </xf>
    <xf numFmtId="0" fontId="26" fillId="4" borderId="0" xfId="50" applyFont="1" applyFill="1" applyBorder="1" applyAlignment="1" applyProtection="1">
      <alignment horizontal="center" vertical="center"/>
      <protection hidden="1"/>
    </xf>
    <xf numFmtId="0" fontId="37" fillId="4" borderId="0" xfId="50" applyFont="1" applyFill="1" applyBorder="1" applyAlignment="1" applyProtection="1">
      <alignment horizontal="center" vertical="center" wrapText="1"/>
      <protection hidden="1"/>
    </xf>
    <xf numFmtId="0" fontId="38" fillId="4" borderId="0" xfId="50" applyFont="1" applyFill="1" applyProtection="1">
      <protection hidden="1"/>
    </xf>
    <xf numFmtId="0" fontId="30" fillId="4" borderId="4" xfId="50" applyFont="1" applyFill="1" applyBorder="1" applyAlignment="1" applyProtection="1">
      <alignment vertical="center" wrapText="1"/>
      <protection hidden="1"/>
    </xf>
    <xf numFmtId="0" fontId="30" fillId="13" borderId="4" xfId="0" applyFont="1" applyFill="1" applyBorder="1" applyAlignment="1">
      <alignment horizontal="right" vertical="center" wrapText="1"/>
    </xf>
    <xf numFmtId="0" fontId="26" fillId="0" borderId="4" xfId="0" applyFont="1" applyBorder="1" applyAlignment="1" applyProtection="1">
      <alignment vertical="center"/>
      <protection locked="0"/>
    </xf>
    <xf numFmtId="0" fontId="26" fillId="4" borderId="9" xfId="50" applyFont="1" applyFill="1" applyBorder="1" applyProtection="1">
      <protection hidden="1"/>
    </xf>
    <xf numFmtId="0" fontId="26" fillId="4" borderId="6" xfId="50" applyFont="1" applyFill="1" applyBorder="1" applyProtection="1">
      <protection hidden="1"/>
    </xf>
    <xf numFmtId="0" fontId="26" fillId="13" borderId="4" xfId="0" applyFont="1" applyFill="1" applyBorder="1" applyAlignment="1">
      <alignment horizontal="center" vertical="center"/>
    </xf>
    <xf numFmtId="0" fontId="30" fillId="4" borderId="7" xfId="50" applyFont="1" applyFill="1" applyBorder="1" applyAlignment="1" applyProtection="1">
      <alignment horizontal="left" wrapText="1"/>
      <protection hidden="1"/>
    </xf>
    <xf numFmtId="0" fontId="30" fillId="4" borderId="51" xfId="50" applyFont="1" applyFill="1" applyBorder="1" applyAlignment="1" applyProtection="1">
      <alignment horizontal="left" wrapText="1"/>
      <protection hidden="1"/>
    </xf>
    <xf numFmtId="0" fontId="30" fillId="4" borderId="53" xfId="50" applyFont="1" applyFill="1" applyBorder="1" applyAlignment="1" applyProtection="1">
      <alignment horizontal="left" wrapText="1"/>
      <protection hidden="1"/>
    </xf>
    <xf numFmtId="0" fontId="30" fillId="4" borderId="0" xfId="50" applyFont="1" applyFill="1" applyAlignment="1" applyProtection="1">
      <alignment horizontal="left" wrapText="1"/>
      <protection hidden="1"/>
    </xf>
    <xf numFmtId="0" fontId="26" fillId="0" borderId="4" xfId="0" applyFont="1" applyBorder="1" applyAlignment="1">
      <alignment horizontal="right" wrapText="1"/>
    </xf>
    <xf numFmtId="0" fontId="26" fillId="14" borderId="4" xfId="0" applyFont="1" applyFill="1" applyBorder="1" applyAlignment="1" applyProtection="1">
      <alignment horizontal="center" vertical="center"/>
      <protection hidden="1"/>
    </xf>
    <xf numFmtId="0" fontId="26" fillId="13" borderId="4" xfId="0" applyFont="1" applyFill="1" applyBorder="1" applyAlignment="1">
      <alignment horizontal="center"/>
    </xf>
    <xf numFmtId="0" fontId="26" fillId="0" borderId="0" xfId="50" applyFont="1" applyAlignment="1" applyProtection="1">
      <alignment horizontal="center"/>
      <protection hidden="1"/>
    </xf>
    <xf numFmtId="0" fontId="26" fillId="0" borderId="0" xfId="0" applyFont="1" applyAlignment="1">
      <alignment horizontal="left" vertical="center"/>
    </xf>
    <xf numFmtId="49" fontId="26" fillId="0" borderId="0" xfId="0" applyNumberFormat="1" applyFont="1"/>
    <xf numFmtId="49" fontId="28" fillId="12" borderId="0" xfId="50" applyNumberFormat="1" applyFont="1" applyFill="1" applyAlignment="1" applyProtection="1">
      <alignment vertical="center"/>
      <protection hidden="1"/>
    </xf>
    <xf numFmtId="49" fontId="26" fillId="4" borderId="0" xfId="50" applyNumberFormat="1" applyFont="1" applyFill="1" applyProtection="1">
      <protection hidden="1"/>
    </xf>
    <xf numFmtId="0" fontId="26" fillId="4" borderId="5" xfId="50" applyFont="1" applyFill="1" applyBorder="1" applyAlignment="1" applyProtection="1">
      <protection hidden="1"/>
    </xf>
    <xf numFmtId="0" fontId="26" fillId="4" borderId="0" xfId="50" applyFont="1" applyFill="1" applyBorder="1" applyAlignment="1" applyProtection="1">
      <protection hidden="1"/>
    </xf>
    <xf numFmtId="0" fontId="26" fillId="4" borderId="0" xfId="50" applyFont="1" applyFill="1" applyAlignment="1" applyProtection="1">
      <alignment horizontal="center"/>
      <protection hidden="1"/>
    </xf>
    <xf numFmtId="49" fontId="30" fillId="4" borderId="4" xfId="50" applyNumberFormat="1" applyFont="1" applyFill="1" applyBorder="1" applyAlignment="1" applyProtection="1">
      <alignment horizontal="center" vertical="center"/>
      <protection hidden="1"/>
    </xf>
    <xf numFmtId="0" fontId="30" fillId="0" borderId="4" xfId="50" applyFont="1" applyFill="1" applyBorder="1" applyAlignment="1" applyProtection="1">
      <alignment horizontal="center" vertical="center"/>
      <protection locked="0"/>
    </xf>
    <xf numFmtId="0" fontId="30" fillId="4" borderId="7" xfId="50" applyFont="1" applyFill="1" applyBorder="1" applyAlignment="1" applyProtection="1">
      <alignment horizontal="left" vertical="center" wrapText="1"/>
      <protection hidden="1"/>
    </xf>
    <xf numFmtId="0" fontId="30" fillId="4" borderId="51" xfId="50" applyFont="1" applyFill="1" applyBorder="1" applyAlignment="1" applyProtection="1">
      <alignment horizontal="left" vertical="center" wrapText="1"/>
      <protection hidden="1"/>
    </xf>
    <xf numFmtId="0" fontId="30" fillId="4" borderId="52" xfId="50" applyFont="1" applyFill="1" applyBorder="1" applyAlignment="1" applyProtection="1">
      <alignment horizontal="left" vertical="center" wrapText="1"/>
      <protection hidden="1"/>
    </xf>
    <xf numFmtId="49" fontId="30" fillId="13" borderId="4" xfId="50" applyNumberFormat="1" applyFont="1" applyFill="1" applyBorder="1" applyAlignment="1" applyProtection="1">
      <alignment horizontal="right" vertical="center" wrapText="1"/>
      <protection hidden="1"/>
    </xf>
    <xf numFmtId="0" fontId="30" fillId="4" borderId="1" xfId="50" applyFont="1" applyFill="1" applyBorder="1" applyAlignment="1" applyProtection="1">
      <alignment horizontal="left" vertical="center" wrapText="1"/>
      <protection hidden="1"/>
    </xf>
    <xf numFmtId="0" fontId="30" fillId="4" borderId="5" xfId="50" applyFont="1" applyFill="1" applyBorder="1" applyAlignment="1" applyProtection="1">
      <alignment horizontal="left" vertical="center" wrapText="1"/>
      <protection hidden="1"/>
    </xf>
    <xf numFmtId="0" fontId="30" fillId="4" borderId="2" xfId="50" applyFont="1" applyFill="1" applyBorder="1" applyAlignment="1" applyProtection="1">
      <alignment horizontal="left" vertical="center" wrapText="1"/>
      <protection hidden="1"/>
    </xf>
    <xf numFmtId="0" fontId="30" fillId="14" borderId="4" xfId="50" applyFont="1" applyFill="1" applyBorder="1" applyAlignment="1" applyProtection="1">
      <alignment horizontal="center" vertical="center"/>
      <protection hidden="1"/>
    </xf>
    <xf numFmtId="49" fontId="30" fillId="4" borderId="0" xfId="50" applyNumberFormat="1" applyFont="1" applyFill="1" applyProtection="1">
      <protection hidden="1"/>
    </xf>
    <xf numFmtId="0" fontId="30" fillId="4" borderId="0" xfId="50" applyFont="1" applyFill="1" applyProtection="1">
      <protection hidden="1"/>
    </xf>
    <xf numFmtId="0" fontId="26" fillId="0" borderId="0" xfId="50" applyFont="1" applyAlignment="1" applyProtection="1">
      <alignment vertical="center"/>
      <protection hidden="1"/>
    </xf>
    <xf numFmtId="0" fontId="26" fillId="0" borderId="0" xfId="50" applyFont="1" applyAlignment="1" applyProtection="1">
      <alignment horizontal="center" vertical="center"/>
      <protection hidden="1"/>
    </xf>
    <xf numFmtId="49" fontId="26" fillId="0" borderId="0" xfId="50" applyNumberFormat="1" applyFont="1" applyProtection="1">
      <protection hidden="1"/>
    </xf>
    <xf numFmtId="0" fontId="39" fillId="12" borderId="0" xfId="6" applyFont="1" applyFill="1" applyAlignment="1" applyProtection="1">
      <alignment vertical="center"/>
      <protection hidden="1"/>
    </xf>
    <xf numFmtId="49" fontId="26" fillId="12" borderId="0" xfId="50" applyNumberFormat="1" applyFont="1" applyFill="1" applyAlignment="1" applyProtection="1">
      <alignment vertical="center"/>
      <protection hidden="1"/>
    </xf>
    <xf numFmtId="0" fontId="26" fillId="17" borderId="0" xfId="50" applyFont="1" applyFill="1" applyAlignment="1" applyProtection="1">
      <alignment vertical="center"/>
      <protection hidden="1"/>
    </xf>
    <xf numFmtId="0" fontId="26" fillId="4" borderId="0" xfId="50" applyFont="1" applyFill="1" applyAlignment="1" applyProtection="1">
      <alignment horizontal="center" vertical="center"/>
      <protection hidden="1"/>
    </xf>
    <xf numFmtId="49" fontId="26" fillId="4" borderId="0" xfId="50" applyNumberFormat="1" applyFont="1" applyFill="1" applyAlignment="1" applyProtection="1">
      <alignment vertical="center"/>
      <protection hidden="1"/>
    </xf>
    <xf numFmtId="49" fontId="30" fillId="13" borderId="4" xfId="50" applyNumberFormat="1" applyFont="1" applyFill="1" applyBorder="1" applyAlignment="1" applyProtection="1">
      <alignment horizontal="center" vertical="center" wrapText="1"/>
      <protection hidden="1"/>
    </xf>
    <xf numFmtId="0" fontId="26" fillId="0" borderId="4" xfId="50" applyFont="1" applyFill="1" applyBorder="1" applyAlignment="1" applyProtection="1">
      <alignment horizontal="center" vertical="center" wrapText="1"/>
      <protection locked="0"/>
    </xf>
    <xf numFmtId="0" fontId="26" fillId="4" borderId="0" xfId="50" applyFont="1" applyFill="1" applyAlignment="1" applyProtection="1">
      <alignment horizontal="left"/>
      <protection hidden="1"/>
    </xf>
    <xf numFmtId="1" fontId="26" fillId="14" borderId="4" xfId="50" applyNumberFormat="1" applyFont="1" applyFill="1" applyBorder="1" applyAlignment="1" applyProtection="1">
      <alignment horizontal="center" vertical="center"/>
      <protection hidden="1"/>
    </xf>
    <xf numFmtId="0" fontId="26" fillId="14" borderId="4" xfId="50" applyFont="1" applyFill="1" applyBorder="1" applyAlignment="1" applyProtection="1">
      <alignment horizontal="center" vertical="center"/>
      <protection hidden="1"/>
    </xf>
    <xf numFmtId="0" fontId="36" fillId="4" borderId="4" xfId="50" applyFont="1" applyFill="1" applyBorder="1" applyAlignment="1" applyProtection="1">
      <alignment horizontal="left" vertical="center" wrapText="1"/>
      <protection hidden="1"/>
    </xf>
    <xf numFmtId="0" fontId="40" fillId="14" borderId="4" xfId="50" applyFont="1" applyFill="1" applyBorder="1" applyAlignment="1" applyProtection="1">
      <alignment horizontal="center" vertical="center"/>
      <protection hidden="1"/>
    </xf>
    <xf numFmtId="0" fontId="37" fillId="4" borderId="4" xfId="50" applyFont="1" applyFill="1" applyBorder="1" applyAlignment="1" applyProtection="1">
      <alignment horizontal="left" vertical="center" wrapText="1"/>
      <protection hidden="1"/>
    </xf>
    <xf numFmtId="0" fontId="26" fillId="0" borderId="4" xfId="0" applyFont="1" applyBorder="1" applyAlignment="1" applyProtection="1">
      <alignment horizontal="center"/>
      <protection locked="0"/>
    </xf>
    <xf numFmtId="0" fontId="30" fillId="0" borderId="4" xfId="0" applyFont="1" applyFill="1" applyBorder="1" applyAlignment="1">
      <alignment vertical="center"/>
    </xf>
    <xf numFmtId="9" fontId="26" fillId="0" borderId="4" xfId="3" applyNumberFormat="1" applyFont="1" applyBorder="1" applyAlignment="1" applyProtection="1">
      <alignment horizontal="center"/>
      <protection locked="0"/>
    </xf>
    <xf numFmtId="0" fontId="40" fillId="4" borderId="0" xfId="50" applyFont="1" applyFill="1" applyProtection="1">
      <protection hidden="1"/>
    </xf>
    <xf numFmtId="0" fontId="41" fillId="3" borderId="7" xfId="50" applyFont="1" applyFill="1" applyBorder="1" applyProtection="1">
      <protection hidden="1"/>
    </xf>
    <xf numFmtId="0" fontId="26" fillId="3" borderId="52" xfId="50" applyFont="1" applyFill="1" applyBorder="1" applyProtection="1">
      <protection hidden="1"/>
    </xf>
    <xf numFmtId="0" fontId="42" fillId="3" borderId="53" xfId="6" applyFont="1" applyFill="1" applyBorder="1" applyAlignment="1" applyProtection="1">
      <alignment vertical="center"/>
      <protection hidden="1"/>
    </xf>
    <xf numFmtId="0" fontId="26" fillId="3" borderId="54" xfId="50" applyFont="1" applyFill="1" applyBorder="1" applyProtection="1">
      <protection hidden="1"/>
    </xf>
    <xf numFmtId="0" fontId="42" fillId="3" borderId="1" xfId="6" applyFont="1" applyFill="1" applyBorder="1" applyAlignment="1" applyProtection="1">
      <alignment vertical="center"/>
      <protection hidden="1"/>
    </xf>
    <xf numFmtId="0" fontId="26" fillId="3" borderId="2" xfId="50" applyFont="1" applyFill="1" applyBorder="1" applyProtection="1">
      <protection hidden="1"/>
    </xf>
    <xf numFmtId="0" fontId="26" fillId="5" borderId="0" xfId="50" applyFont="1" applyFill="1" applyAlignment="1" applyProtection="1">
      <alignment vertical="center"/>
      <protection hidden="1"/>
    </xf>
    <xf numFmtId="0" fontId="1" fillId="18" borderId="0" xfId="50" applyFill="1" applyBorder="1"/>
    <xf numFmtId="0" fontId="1" fillId="0" borderId="0" xfId="50" applyBorder="1"/>
    <xf numFmtId="0" fontId="1" fillId="0" borderId="0" xfId="50" applyFont="1" applyBorder="1"/>
    <xf numFmtId="2" fontId="1" fillId="0" borderId="0" xfId="50" applyNumberFormat="1" applyBorder="1"/>
    <xf numFmtId="0" fontId="1" fillId="0" borderId="0" xfId="50" applyFill="1" applyBorder="1"/>
    <xf numFmtId="0" fontId="1" fillId="0" borderId="0" xfId="50" applyBorder="1" applyAlignment="1"/>
    <xf numFmtId="0" fontId="17" fillId="0" borderId="0" xfId="50" applyFont="1" applyBorder="1" applyAlignment="1">
      <alignment horizontal="left" vertical="center"/>
    </xf>
    <xf numFmtId="0" fontId="5" fillId="0" borderId="0" xfId="50" applyFont="1" applyBorder="1" applyAlignment="1">
      <alignment vertical="center"/>
    </xf>
    <xf numFmtId="0" fontId="5" fillId="0" borderId="0" xfId="50" applyFont="1" applyBorder="1" applyAlignment="1">
      <alignment horizontal="center" vertical="center" wrapText="1"/>
    </xf>
    <xf numFmtId="0" fontId="10" fillId="0" borderId="0" xfId="50" applyFont="1" applyBorder="1" applyAlignment="1">
      <alignment horizontal="center" vertical="center" wrapText="1"/>
    </xf>
    <xf numFmtId="0" fontId="43" fillId="0" borderId="0" xfId="50" applyFont="1" applyBorder="1" applyAlignment="1">
      <alignment horizontal="justify" vertical="center"/>
    </xf>
    <xf numFmtId="0" fontId="8" fillId="0" borderId="0" xfId="50" applyFont="1" applyBorder="1"/>
    <xf numFmtId="0" fontId="18" fillId="0" borderId="0" xfId="50" applyFont="1" applyBorder="1" applyAlignment="1">
      <alignment horizontal="right" vertical="center"/>
    </xf>
    <xf numFmtId="0" fontId="18" fillId="0" borderId="0" xfId="50" applyFont="1" applyBorder="1" applyAlignment="1">
      <alignment horizontal="left" vertical="center"/>
    </xf>
    <xf numFmtId="0" fontId="22" fillId="0" borderId="0" xfId="50" applyFont="1" applyBorder="1" applyAlignment="1">
      <alignment vertical="center"/>
    </xf>
    <xf numFmtId="0" fontId="22" fillId="0" borderId="0" xfId="50" applyFont="1" applyBorder="1" applyAlignment="1">
      <alignment horizontal="center" vertical="center" wrapText="1"/>
    </xf>
    <xf numFmtId="0" fontId="44" fillId="0" borderId="0" xfId="50" applyFont="1" applyBorder="1" applyAlignment="1">
      <alignment horizontal="left" vertical="center"/>
    </xf>
    <xf numFmtId="0" fontId="1" fillId="0" borderId="0" xfId="50" applyFont="1" applyBorder="1" applyAlignment="1">
      <alignment horizontal="left"/>
    </xf>
    <xf numFmtId="0" fontId="45" fillId="0" borderId="0" xfId="50" applyFont="1" applyBorder="1" applyAlignment="1">
      <alignment horizontal="left" vertical="center"/>
    </xf>
    <xf numFmtId="0" fontId="45" fillId="0" borderId="0" xfId="50" applyFont="1" applyBorder="1" applyAlignment="1">
      <alignment horizontal="left" vertical="center" wrapText="1"/>
    </xf>
    <xf numFmtId="0" fontId="10" fillId="0" borderId="0" xfId="50" applyFont="1" applyBorder="1" applyAlignment="1">
      <alignment vertical="center"/>
    </xf>
    <xf numFmtId="0" fontId="46" fillId="0" borderId="0" xfId="50" applyFont="1" applyBorder="1"/>
    <xf numFmtId="0" fontId="46" fillId="18" borderId="0" xfId="50" applyFont="1" applyFill="1" applyBorder="1"/>
    <xf numFmtId="0" fontId="1" fillId="0" borderId="0" xfId="50" applyFont="1" applyBorder="1" applyAlignment="1">
      <alignment horizontal="center"/>
    </xf>
    <xf numFmtId="0" fontId="1" fillId="0" borderId="0" xfId="50" applyBorder="1" applyAlignment="1">
      <alignment horizontal="center"/>
    </xf>
    <xf numFmtId="183" fontId="1" fillId="0" borderId="0" xfId="3" applyNumberFormat="1" applyFont="1" applyBorder="1"/>
    <xf numFmtId="183" fontId="1" fillId="9" borderId="0" xfId="3" applyNumberFormat="1" applyFont="1" applyFill="1" applyBorder="1"/>
    <xf numFmtId="183" fontId="1" fillId="0" borderId="0" xfId="3" applyNumberFormat="1" applyFont="1" applyFill="1" applyBorder="1"/>
    <xf numFmtId="183" fontId="1" fillId="18" borderId="0" xfId="3" applyNumberFormat="1" applyFont="1" applyFill="1" applyBorder="1"/>
    <xf numFmtId="183" fontId="1" fillId="19" borderId="0" xfId="3" applyNumberFormat="1" applyFont="1" applyFill="1" applyBorder="1"/>
    <xf numFmtId="0" fontId="1" fillId="18" borderId="0" xfId="50" applyFont="1" applyFill="1" applyBorder="1"/>
    <xf numFmtId="0" fontId="23" fillId="0" borderId="0" xfId="50" applyFont="1" applyBorder="1" applyAlignment="1">
      <alignment horizontal="left" vertical="center"/>
    </xf>
    <xf numFmtId="0" fontId="5" fillId="0" borderId="0" xfId="50" applyFont="1" applyBorder="1" applyAlignment="1">
      <alignment horizontal="center" vertical="center"/>
    </xf>
    <xf numFmtId="0" fontId="10" fillId="0" borderId="0" xfId="50" applyFont="1" applyBorder="1" applyAlignment="1">
      <alignment horizontal="center" vertical="center"/>
    </xf>
    <xf numFmtId="0" fontId="26" fillId="0" borderId="0" xfId="0" applyFont="1" applyProtection="1">
      <protection hidden="1"/>
    </xf>
    <xf numFmtId="0" fontId="26" fillId="3" borderId="0" xfId="0" applyFont="1" applyFill="1" applyBorder="1" applyProtection="1">
      <protection hidden="1"/>
    </xf>
    <xf numFmtId="0" fontId="26" fillId="12" borderId="0" xfId="50" applyFont="1" applyFill="1" applyProtection="1">
      <protection hidden="1"/>
    </xf>
    <xf numFmtId="0" fontId="28" fillId="0" borderId="0" xfId="0" applyFont="1" applyAlignment="1" applyProtection="1">
      <alignment horizontal="left" vertical="center" wrapText="1"/>
      <protection hidden="1"/>
    </xf>
    <xf numFmtId="0" fontId="26" fillId="0" borderId="0" xfId="0" applyFont="1" applyAlignment="1" applyProtection="1">
      <alignment horizontal="left" vertical="center" wrapText="1"/>
      <protection hidden="1"/>
    </xf>
    <xf numFmtId="0" fontId="26" fillId="4" borderId="0" xfId="50" applyFont="1" applyFill="1" applyAlignment="1" applyProtection="1">
      <alignment horizontal="right"/>
      <protection hidden="1"/>
    </xf>
    <xf numFmtId="188" fontId="26" fillId="3" borderId="5" xfId="50" applyNumberFormat="1" applyFont="1" applyFill="1" applyBorder="1" applyAlignment="1" applyProtection="1">
      <alignment horizontal="center"/>
      <protection locked="0" hidden="1"/>
    </xf>
    <xf numFmtId="49" fontId="26" fillId="3" borderId="9" xfId="50" applyNumberFormat="1" applyFont="1" applyFill="1" applyBorder="1" applyAlignment="1" applyProtection="1">
      <alignment horizontal="center"/>
      <protection locked="0" hidden="1"/>
    </xf>
    <xf numFmtId="1" fontId="26" fillId="3" borderId="9" xfId="50" applyNumberFormat="1" applyFont="1" applyFill="1" applyBorder="1" applyAlignment="1" applyProtection="1">
      <alignment horizontal="center"/>
      <protection locked="0" hidden="1"/>
    </xf>
    <xf numFmtId="49" fontId="26" fillId="3" borderId="5" xfId="50" applyNumberFormat="1" applyFont="1" applyFill="1" applyBorder="1" applyAlignment="1" applyProtection="1">
      <alignment horizontal="center"/>
      <protection locked="0" hidden="1"/>
    </xf>
    <xf numFmtId="0" fontId="26" fillId="4" borderId="0" xfId="50" applyFont="1" applyFill="1" applyAlignment="1" applyProtection="1">
      <alignment horizontal="right" vertical="center" wrapText="1"/>
      <protection hidden="1"/>
    </xf>
    <xf numFmtId="0" fontId="26" fillId="4" borderId="5" xfId="50" applyFont="1" applyFill="1" applyBorder="1" applyAlignment="1" applyProtection="1">
      <alignment horizontal="center"/>
      <protection hidden="1"/>
    </xf>
    <xf numFmtId="0" fontId="47" fillId="20" borderId="4" xfId="50" applyFont="1" applyFill="1" applyBorder="1" applyAlignment="1" applyProtection="1">
      <alignment horizontal="center" vertical="center" wrapText="1"/>
      <protection hidden="1"/>
    </xf>
    <xf numFmtId="0" fontId="30" fillId="14" borderId="4" xfId="50" applyFont="1" applyFill="1" applyBorder="1" applyAlignment="1" applyProtection="1">
      <alignment horizontal="right" vertical="center" wrapText="1"/>
      <protection hidden="1"/>
    </xf>
    <xf numFmtId="2" fontId="30" fillId="14" borderId="4" xfId="50" applyNumberFormat="1" applyFont="1" applyFill="1" applyBorder="1" applyAlignment="1" applyProtection="1">
      <alignment horizontal="center" vertical="center" wrapText="1"/>
      <protection hidden="1"/>
    </xf>
    <xf numFmtId="184" fontId="30" fillId="14" borderId="4" xfId="50" applyNumberFormat="1" applyFont="1" applyFill="1" applyBorder="1" applyAlignment="1" applyProtection="1">
      <alignment horizontal="center" vertical="center" wrapText="1"/>
      <protection hidden="1"/>
    </xf>
    <xf numFmtId="9" fontId="30" fillId="14" borderId="4" xfId="53" applyFont="1" applyFill="1" applyBorder="1" applyAlignment="1" applyProtection="1">
      <alignment horizontal="center" vertical="center" wrapText="1"/>
      <protection hidden="1"/>
    </xf>
    <xf numFmtId="2" fontId="30" fillId="20" borderId="4" xfId="50" applyNumberFormat="1" applyFont="1" applyFill="1" applyBorder="1" applyAlignment="1" applyProtection="1">
      <alignment horizontal="center" vertical="center" wrapText="1"/>
      <protection hidden="1"/>
    </xf>
    <xf numFmtId="0" fontId="30" fillId="14" borderId="4" xfId="0" applyFont="1" applyFill="1" applyBorder="1" applyAlignment="1" applyProtection="1">
      <alignment horizontal="right" vertical="center" wrapText="1"/>
      <protection hidden="1"/>
    </xf>
    <xf numFmtId="0" fontId="34" fillId="14" borderId="4" xfId="50" applyFont="1" applyFill="1" applyBorder="1" applyAlignment="1" applyProtection="1">
      <alignment horizontal="right" vertical="center" wrapText="1"/>
      <protection hidden="1"/>
    </xf>
    <xf numFmtId="181" fontId="30" fillId="14" borderId="4" xfId="50" applyNumberFormat="1" applyFont="1" applyFill="1" applyBorder="1" applyAlignment="1" applyProtection="1">
      <alignment horizontal="center" vertical="center" wrapText="1"/>
      <protection hidden="1"/>
    </xf>
    <xf numFmtId="181" fontId="30" fillId="20" borderId="4" xfId="50" applyNumberFormat="1" applyFont="1" applyFill="1" applyBorder="1" applyAlignment="1" applyProtection="1">
      <alignment horizontal="center" vertical="center" wrapText="1"/>
      <protection hidden="1"/>
    </xf>
    <xf numFmtId="0" fontId="27" fillId="12" borderId="0" xfId="50" applyFont="1" applyFill="1" applyProtection="1">
      <protection hidden="1"/>
    </xf>
    <xf numFmtId="0" fontId="26" fillId="0" borderId="0" xfId="0" applyFont="1" applyAlignment="1" applyProtection="1">
      <alignment horizontal="left" vertical="top" wrapText="1"/>
      <protection hidden="1"/>
    </xf>
    <xf numFmtId="0" fontId="26" fillId="3" borderId="0" xfId="50" applyFont="1" applyFill="1" applyAlignment="1" applyProtection="1">
      <alignment horizontal="center"/>
      <protection hidden="1"/>
    </xf>
    <xf numFmtId="0" fontId="26" fillId="17" borderId="0" xfId="50" applyFont="1" applyFill="1" applyProtection="1">
      <protection hidden="1"/>
    </xf>
    <xf numFmtId="0" fontId="30" fillId="21" borderId="4" xfId="50" applyFont="1" applyFill="1" applyBorder="1" applyAlignment="1" applyProtection="1">
      <alignment horizontal="left" vertical="center" wrapText="1"/>
      <protection hidden="1"/>
    </xf>
    <xf numFmtId="0" fontId="30" fillId="4" borderId="4" xfId="50" applyFont="1" applyFill="1" applyBorder="1" applyAlignment="1" applyProtection="1">
      <alignment wrapText="1"/>
      <protection hidden="1"/>
    </xf>
    <xf numFmtId="0" fontId="12" fillId="0" borderId="4" xfId="0" applyFont="1" applyBorder="1" applyAlignment="1" quotePrefix="1">
      <alignment horizontal="center" wrapText="1"/>
    </xf>
    <xf numFmtId="0" fontId="0" fillId="9" borderId="0" xfId="0" applyFill="1" quotePrefix="1"/>
    <xf numFmtId="0" fontId="18" fillId="0" borderId="4" xfId="0" applyFont="1" applyBorder="1" applyAlignment="1" quotePrefix="1">
      <alignment horizontal="center" vertical="center"/>
    </xf>
    <xf numFmtId="0" fontId="12" fillId="0" borderId="12" xfId="0" applyFont="1" applyBorder="1" applyAlignment="1" quotePrefix="1">
      <alignment horizontal="center" wrapText="1"/>
    </xf>
    <xf numFmtId="0" fontId="0" fillId="0" borderId="4" xfId="0" applyBorder="1" quotePrefix="1"/>
    <xf numFmtId="0" fontId="12" fillId="0" borderId="3" xfId="0" applyFont="1" applyBorder="1" applyAlignment="1" quotePrefix="1">
      <alignment horizontal="center" wrapText="1"/>
    </xf>
    <xf numFmtId="0" fontId="0" fillId="0" borderId="0" xfId="0" quotePrefix="1"/>
    <xf numFmtId="0" fontId="12" fillId="0" borderId="50" xfId="0" applyFont="1" applyBorder="1" applyAlignment="1" quotePrefix="1">
      <alignment horizontal="center" wrapText="1"/>
    </xf>
    <xf numFmtId="0" fontId="18" fillId="0" borderId="15" xfId="0" applyFont="1" applyBorder="1" applyAlignment="1" quotePrefix="1">
      <alignment horizontal="center" vertical="center"/>
    </xf>
    <xf numFmtId="0" fontId="18" fillId="0" borderId="10" xfId="0" applyFont="1" applyBorder="1" applyAlignment="1" quotePrefix="1">
      <alignment horizontal="center" vertical="center"/>
    </xf>
    <xf numFmtId="0" fontId="18" fillId="0" borderId="25" xfId="0" applyFont="1" applyBorder="1" applyAlignment="1" quotePrefix="1">
      <alignment horizontal="center" vertical="center" wrapText="1"/>
    </xf>
    <xf numFmtId="0" fontId="18" fillId="0" borderId="29" xfId="0" applyFont="1" applyBorder="1" applyAlignment="1" quotePrefix="1">
      <alignment horizontal="center" vertical="center" wrapText="1"/>
    </xf>
    <xf numFmtId="0" fontId="18" fillId="9" borderId="43" xfId="0" applyFont="1" applyFill="1" applyBorder="1" quotePrefix="1"/>
    <xf numFmtId="0" fontId="18" fillId="9" borderId="29" xfId="0" applyFont="1" applyFill="1" applyBorder="1" quotePrefix="1"/>
    <xf numFmtId="0" fontId="18" fillId="9" borderId="31" xfId="0" applyFont="1" applyFill="1" applyBorder="1" quotePrefix="1"/>
    <xf numFmtId="0" fontId="18" fillId="0" borderId="44" xfId="0" applyFont="1" applyBorder="1" applyAlignment="1" quotePrefix="1">
      <alignment horizontal="center" vertical="center" wrapText="1"/>
    </xf>
    <xf numFmtId="0" fontId="18" fillId="0" borderId="41" xfId="0" applyFont="1" applyBorder="1" applyAlignment="1" quotePrefix="1">
      <alignment horizontal="center" vertical="center" wrapText="1"/>
    </xf>
  </cellXfs>
  <cellStyles count="54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Normal 2" xfId="49"/>
    <cellStyle name="Обычный 2" xfId="50"/>
    <cellStyle name="Обычный 2 2" xfId="51"/>
    <cellStyle name="Обычный 3" xfId="52"/>
    <cellStyle name="Процентный 2" xfId="53"/>
  </cellStyles>
  <dxfs count="12">
    <dxf>
      <font>
        <color rgb="FFFF0000"/>
      </font>
      <fill>
        <patternFill patternType="solid">
          <bgColor theme="5" tint="0.799981688894314"/>
        </patternFill>
      </fill>
    </dxf>
    <dxf>
      <font>
        <color theme="9" tint="-0.249946592608417"/>
      </font>
      <fill>
        <patternFill patternType="solid">
          <bgColor theme="9" tint="0.599963377788629"/>
        </patternFill>
      </fill>
    </dxf>
    <dxf>
      <font>
        <color rgb="FFFF0000"/>
      </font>
      <fill>
        <patternFill patternType="solid">
          <bgColor theme="5" tint="0.599963377788629"/>
        </patternFill>
      </fill>
    </dxf>
    <dxf>
      <font>
        <color rgb="FFFF0000"/>
      </font>
      <fill>
        <patternFill patternType="solid">
          <bgColor theme="5" tint="0.599963377788629"/>
        </patternFill>
      </fill>
    </dxf>
    <dxf>
      <font>
        <color rgb="FFFF0000"/>
      </font>
      <fill>
        <patternFill patternType="solid">
          <bgColor theme="5" tint="0.599963377788629"/>
        </patternFill>
      </fill>
    </dxf>
    <dxf>
      <fill>
        <patternFill patternType="solid">
          <bgColor theme="5" tint="0.599963377788629"/>
        </patternFill>
      </fill>
    </dxf>
    <dxf>
      <font>
        <color theme="0" tint="-0.499984740745262"/>
      </font>
      <fill>
        <patternFill patternType="solid">
          <bgColor theme="0" tint="-0.249946592608417"/>
        </patternFill>
      </fill>
    </dxf>
    <dxf>
      <fill>
        <patternFill patternType="solid">
          <bgColor theme="0" tint="-0.249946592608417"/>
        </patternFill>
      </fill>
    </dxf>
    <dxf>
      <font>
        <color theme="0" tint="-0.499984740745262"/>
      </font>
      <fill>
        <patternFill patternType="solid">
          <bgColor theme="0" tint="-0.14996795556505"/>
        </patternFill>
      </fill>
    </dxf>
    <dxf>
      <font>
        <color theme="0" tint="-0.499984740745262"/>
      </font>
      <fill>
        <patternFill patternType="solid">
          <bgColor theme="6" tint="0.399945066682943"/>
        </patternFill>
      </fill>
    </dxf>
    <dxf>
      <font>
        <name val="Calibri"/>
        <scheme val="none"/>
        <b val="0"/>
        <i val="0"/>
        <strike val="0"/>
        <u val="none"/>
        <sz val="12"/>
        <color theme="1"/>
      </font>
      <border>
        <left/>
        <right style="thin">
          <color auto="1"/>
        </right>
        <top style="thin">
          <color auto="1"/>
        </top>
        <bottom style="thin">
          <color auto="1"/>
        </bottom>
      </border>
      <protection hidden="1"/>
    </dxf>
    <dxf>
      <font>
        <name val="Calibri"/>
        <scheme val="none"/>
        <b val="0"/>
        <i val="0"/>
        <strike val="0"/>
        <u val="none"/>
        <sz val="12"/>
        <color theme="1"/>
      </font>
      <border>
        <left style="thin">
          <color auto="1"/>
        </left>
        <right/>
        <top style="thin">
          <color auto="1"/>
        </top>
        <bottom style="thin">
          <color auto="1"/>
        </bottom>
      </border>
      <protection hidden="1"/>
    </dxf>
  </dxfs>
  <tableStyles count="0" defaultTableStyle="TableStyleMedium9" defaultPivotStyle="PivotStyleLight16"/>
  <colors>
    <mruColors>
      <color rgb="00FFCCCC"/>
      <color rgb="0000FFCC"/>
      <color rgb="0034A0C3"/>
      <color rgb="0042B3AA"/>
      <color rgb="001B5755"/>
      <color rgb="0076D6FF"/>
      <color rgb="0073FDD6"/>
      <color rgb="0073FEFF"/>
      <color rgb="00F1F4CC"/>
      <color rgb="00EB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3" Type="http://schemas.openxmlformats.org/officeDocument/2006/relationships/styles" Target="styles.xml"/><Relationship Id="rId42" Type="http://schemas.openxmlformats.org/officeDocument/2006/relationships/sharedStrings" Target="sharedStrings.xml"/><Relationship Id="rId41" Type="http://schemas.openxmlformats.org/officeDocument/2006/relationships/theme" Target="theme/theme1.xml"/><Relationship Id="rId4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6847581552306"/>
          <c:y val="0.0491883857054299"/>
          <c:w val="0.575208802024748"/>
          <c:h val="0.83982325921807"/>
        </c:manualLayout>
      </c:layout>
      <c:lineChart>
        <c:grouping val="standard"/>
        <c:varyColors val="0"/>
        <c:ser>
          <c:idx val="0"/>
          <c:order val="0"/>
          <c:tx>
            <c:strRef>
              <c:f>Бассейны!$D$135</c:f>
              <c:strCache>
                <c:ptCount val="1"/>
                <c:pt idx="0">
                  <c:v>Потенциал экономии</c:v>
                </c:pt>
              </c:strCache>
            </c:strRef>
          </c:tx>
          <c:marker>
            <c:symbol val="none"/>
          </c:marker>
          <c:dLbls>
            <c:delete val="1"/>
          </c:dLbls>
          <c:val>
            <c:numRef>
              <c:f>Бассейны!$D$138:$D$187</c:f>
              <c:numCache>
                <c:formatCode>0.0%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0.160527859237537</c:v>
                </c:pt>
                <c:pt idx="25">
                  <c:v>0.290557620817844</c:v>
                </c:pt>
                <c:pt idx="26">
                  <c:v>0.388333333333333</c:v>
                </c:pt>
                <c:pt idx="27">
                  <c:v>0.43202380952381</c:v>
                </c:pt>
                <c:pt idx="28">
                  <c:v>0.471357340720222</c:v>
                </c:pt>
                <c:pt idx="29">
                  <c:v>0.497348551360843</c:v>
                </c:pt>
                <c:pt idx="30">
                  <c:v>0.533017944535074</c:v>
                </c:pt>
                <c:pt idx="31">
                  <c:v>0.56660105980318</c:v>
                </c:pt>
                <c:pt idx="32">
                  <c:v>0.586628158844765</c:v>
                </c:pt>
                <c:pt idx="33">
                  <c:v>0.61290060851927</c:v>
                </c:pt>
                <c:pt idx="34">
                  <c:v>0.62750813272609</c:v>
                </c:pt>
                <c:pt idx="35">
                  <c:v>0.656762589928058</c:v>
                </c:pt>
                <c:pt idx="36">
                  <c:v>0.675258082813386</c:v>
                </c:pt>
                <c:pt idx="37">
                  <c:v>0.690696920583469</c:v>
                </c:pt>
                <c:pt idx="38">
                  <c:v>0.708937468225725</c:v>
                </c:pt>
                <c:pt idx="39">
                  <c:v>0.738813868613139</c:v>
                </c:pt>
                <c:pt idx="40">
                  <c:v>0.751510416666667</c:v>
                </c:pt>
                <c:pt idx="41">
                  <c:v>0.763519206939281</c:v>
                </c:pt>
                <c:pt idx="42">
                  <c:v>0.780559601379839</c:v>
                </c:pt>
                <c:pt idx="43">
                  <c:v>0.794279554437657</c:v>
                </c:pt>
                <c:pt idx="44">
                  <c:v>0.804600682593857</c:v>
                </c:pt>
                <c:pt idx="45">
                  <c:v>0.811049504950495</c:v>
                </c:pt>
                <c:pt idx="46">
                  <c:v>0.817261410788382</c:v>
                </c:pt>
                <c:pt idx="47">
                  <c:v>0.826140297600972</c:v>
                </c:pt>
                <c:pt idx="48">
                  <c:v>0.846013986013986</c:v>
                </c:pt>
                <c:pt idx="49">
                  <c:v>0.858497281265447</c:v>
                </c:pt>
              </c:numCache>
            </c:numRef>
          </c:val>
          <c:smooth val="0"/>
        </c:ser>
        <c:ser>
          <c:idx val="1"/>
          <c:order val="1"/>
          <c:marker>
            <c:symbol val="none"/>
          </c:marker>
          <c:dLbls>
            <c:delete val="1"/>
          </c:dLbls>
          <c:val>
            <c:numRef>
              <c:f>Бассейны!$E$138:$E$187</c:f>
              <c:numCache>
                <c:formatCode>0.0%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0.0160527859237537</c:v>
                </c:pt>
                <c:pt idx="25">
                  <c:v>0.0290557620817844</c:v>
                </c:pt>
                <c:pt idx="26">
                  <c:v>0.0388333333333334</c:v>
                </c:pt>
                <c:pt idx="27">
                  <c:v>0.0592142857142858</c:v>
                </c:pt>
                <c:pt idx="28">
                  <c:v>0.082814404432133</c:v>
                </c:pt>
                <c:pt idx="29">
                  <c:v>0.0984091308165058</c:v>
                </c:pt>
                <c:pt idx="30">
                  <c:v>0.119810766721044</c:v>
                </c:pt>
                <c:pt idx="31">
                  <c:v>0.139960635881908</c:v>
                </c:pt>
                <c:pt idx="32">
                  <c:v>0.151976895306859</c:v>
                </c:pt>
                <c:pt idx="33">
                  <c:v>0.167740365111562</c:v>
                </c:pt>
                <c:pt idx="34">
                  <c:v>0.176504879635654</c:v>
                </c:pt>
                <c:pt idx="35">
                  <c:v>0.194057553956835</c:v>
                </c:pt>
                <c:pt idx="36">
                  <c:v>0.205154849688032</c:v>
                </c:pt>
                <c:pt idx="37">
                  <c:v>0.214418152350081</c:v>
                </c:pt>
                <c:pt idx="38">
                  <c:v>0.225362480935435</c:v>
                </c:pt>
                <c:pt idx="39">
                  <c:v>0.243288321167883</c:v>
                </c:pt>
                <c:pt idx="40">
                  <c:v>0.25090625</c:v>
                </c:pt>
                <c:pt idx="41">
                  <c:v>0.258111524163569</c:v>
                </c:pt>
                <c:pt idx="42">
                  <c:v>0.268335760827903</c:v>
                </c:pt>
                <c:pt idx="43">
                  <c:v>0.276567732662594</c:v>
                </c:pt>
                <c:pt idx="44">
                  <c:v>0.282760409556314</c:v>
                </c:pt>
                <c:pt idx="45">
                  <c:v>0.286629702970297</c:v>
                </c:pt>
                <c:pt idx="46">
                  <c:v>0.290356846473029</c:v>
                </c:pt>
                <c:pt idx="47">
                  <c:v>0.295684178560583</c:v>
                </c:pt>
                <c:pt idx="48">
                  <c:v>0.307608391608392</c:v>
                </c:pt>
                <c:pt idx="49">
                  <c:v>0.315098368759268</c:v>
                </c:pt>
              </c:numCache>
            </c:numRef>
          </c:val>
          <c:smooth val="0"/>
        </c:ser>
        <c:ser>
          <c:idx val="2"/>
          <c:order val="2"/>
          <c:marker>
            <c:symbol val="none"/>
          </c:marker>
          <c:dLbls>
            <c:delete val="1"/>
          </c:dLbls>
          <c:val>
            <c:numRef>
              <c:f>Бассейны!$F$138:$F$187</c:f>
              <c:numCache>
                <c:formatCode>0.0%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0.0106857142857143</c:v>
                </c:pt>
                <c:pt idx="24">
                  <c:v>0.0266627565982405</c:v>
                </c:pt>
                <c:pt idx="25">
                  <c:v>0.0380223048327138</c:v>
                </c:pt>
                <c:pt idx="26">
                  <c:v>0.0793846153846154</c:v>
                </c:pt>
                <c:pt idx="27">
                  <c:v>0.102285714285714</c:v>
                </c:pt>
                <c:pt idx="28">
                  <c:v>0.122903047091413</c:v>
                </c:pt>
                <c:pt idx="29">
                  <c:v>0.136526777875329</c:v>
                </c:pt>
                <c:pt idx="30">
                  <c:v>0.155223491027732</c:v>
                </c:pt>
                <c:pt idx="31">
                  <c:v>0.172826646479939</c:v>
                </c:pt>
                <c:pt idx="32">
                  <c:v>0.183324187725632</c:v>
                </c:pt>
                <c:pt idx="33">
                  <c:v>0.197095334685598</c:v>
                </c:pt>
                <c:pt idx="34">
                  <c:v>0.204752114508783</c:v>
                </c:pt>
                <c:pt idx="35">
                  <c:v>0.220086330935252</c:v>
                </c:pt>
                <c:pt idx="36">
                  <c:v>0.229781055019853</c:v>
                </c:pt>
                <c:pt idx="37">
                  <c:v>0.23787358184765</c:v>
                </c:pt>
                <c:pt idx="38">
                  <c:v>0.247434672089476</c:v>
                </c:pt>
                <c:pt idx="39">
                  <c:v>0.263094890510949</c:v>
                </c:pt>
                <c:pt idx="40">
                  <c:v>0.26975</c:v>
                </c:pt>
                <c:pt idx="41">
                  <c:v>0.276044609665428</c:v>
                </c:pt>
                <c:pt idx="42">
                  <c:v>0.284976619394404</c:v>
                </c:pt>
                <c:pt idx="43">
                  <c:v>0.292168163851958</c:v>
                </c:pt>
                <c:pt idx="44">
                  <c:v>0.297578156996587</c:v>
                </c:pt>
                <c:pt idx="45">
                  <c:v>0.300958415841584</c:v>
                </c:pt>
                <c:pt idx="46">
                  <c:v>0.304214490903288</c:v>
                </c:pt>
                <c:pt idx="47">
                  <c:v>0.308868508958397</c:v>
                </c:pt>
                <c:pt idx="48">
                  <c:v>0.319285637439484</c:v>
                </c:pt>
                <c:pt idx="49">
                  <c:v>0.32582896688087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0"/>
        <c:axId val="115985792"/>
        <c:axId val="119301248"/>
      </c:lineChart>
      <c:catAx>
        <c:axId val="11598579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ru-RU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119301248"/>
        <c:crosses val="autoZero"/>
        <c:auto val="1"/>
        <c:lblAlgn val="ctr"/>
        <c:lblOffset val="100"/>
        <c:noMultiLvlLbl val="0"/>
      </c:catAx>
      <c:valAx>
        <c:axId val="119301248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ru-RU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115985792"/>
        <c:crosses val="autoZero"/>
        <c:crossBetween val="between"/>
      </c:valAx>
    </c:plotArea>
    <c:legend>
      <c:legendPos val="r"/>
      <c:layout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65ab6ead-01e4-4e8c-827e-b6bb872722d3}"/>
      </c:ext>
    </c:extLst>
  </c:chart>
  <c:txPr>
    <a:bodyPr/>
    <a:lstStyle/>
    <a:p>
      <a:pPr>
        <a:defRPr lang="ru-RU"/>
      </a:pPr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Мед.стационар!$D$267</c:f>
              <c:strCache>
                <c:ptCount val="1"/>
                <c:pt idx="0">
                  <c:v>Потенциал экономии</c:v>
                </c:pt>
              </c:strCache>
            </c:strRef>
          </c:tx>
          <c:marker>
            <c:symbol val="none"/>
          </c:marker>
          <c:dLbls>
            <c:delete val="1"/>
          </c:dLbls>
          <c:val>
            <c:numRef>
              <c:f>Мед.стационар!$D$270:$D$319</c:f>
              <c:numCache>
                <c:formatCode>0.0%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  <c:smooth val="0"/>
        </c:ser>
        <c:ser>
          <c:idx val="1"/>
          <c:order val="1"/>
          <c:marker>
            <c:symbol val="none"/>
          </c:marker>
          <c:dLbls>
            <c:delete val="1"/>
          </c:dLbls>
          <c:val>
            <c:numRef>
              <c:f>Мед.стационар!$E$270:$E$319</c:f>
              <c:numCache>
                <c:formatCode>0.0%</c:formatCode>
                <c:ptCount val="50"/>
              </c:numCache>
            </c:numRef>
          </c:val>
          <c:smooth val="0"/>
        </c:ser>
        <c:ser>
          <c:idx val="2"/>
          <c:order val="2"/>
          <c:marker>
            <c:symbol val="none"/>
          </c:marker>
          <c:dLbls>
            <c:delete val="1"/>
          </c:dLbls>
          <c:val>
            <c:numRef>
              <c:f>Мед.стационар!$F$270:$F$319</c:f>
              <c:numCache>
                <c:formatCode>0.0%</c:formatCode>
                <c:ptCount val="5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0"/>
        <c:axId val="130668800"/>
        <c:axId val="130355200"/>
      </c:lineChart>
      <c:catAx>
        <c:axId val="13066880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ru-RU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130355200"/>
        <c:crosses val="autoZero"/>
        <c:auto val="1"/>
        <c:lblAlgn val="ctr"/>
        <c:lblOffset val="100"/>
        <c:noMultiLvlLbl val="0"/>
      </c:catAx>
      <c:valAx>
        <c:axId val="130355200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ru-RU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130668800"/>
        <c:crosses val="autoZero"/>
        <c:crossBetween val="between"/>
      </c:valAx>
    </c:plotArea>
    <c:legend>
      <c:legendPos val="r"/>
      <c:layout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16f9e6de-152a-4058-9479-6695401a11e2}"/>
      </c:ext>
    </c:extLst>
  </c:chart>
  <c:txPr>
    <a:bodyPr/>
    <a:lstStyle/>
    <a:p>
      <a:pPr>
        <a:defRPr lang="ru-RU"/>
      </a:pPr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Мед.стационар!$D$334</c:f>
              <c:strCache>
                <c:ptCount val="1"/>
                <c:pt idx="0">
                  <c:v>Потенциал экономии</c:v>
                </c:pt>
              </c:strCache>
            </c:strRef>
          </c:tx>
          <c:marker>
            <c:symbol val="none"/>
          </c:marker>
          <c:dLbls>
            <c:delete val="1"/>
          </c:dLbls>
          <c:val>
            <c:numRef>
              <c:f>Мед.стационар!$D$337:$D$386</c:f>
              <c:numCache>
                <c:formatCode>0.0%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  <c:smooth val="0"/>
        </c:ser>
        <c:ser>
          <c:idx val="1"/>
          <c:order val="1"/>
          <c:marker>
            <c:symbol val="none"/>
          </c:marker>
          <c:dLbls>
            <c:delete val="1"/>
          </c:dLbls>
          <c:val>
            <c:numRef>
              <c:f>Мед.стационар!$E$337:$E$386</c:f>
              <c:numCache>
                <c:formatCode>0.0%</c:formatCode>
                <c:ptCount val="50"/>
              </c:numCache>
            </c:numRef>
          </c:val>
          <c:smooth val="0"/>
        </c:ser>
        <c:ser>
          <c:idx val="2"/>
          <c:order val="2"/>
          <c:marker>
            <c:symbol val="none"/>
          </c:marker>
          <c:dLbls>
            <c:delete val="1"/>
          </c:dLbls>
          <c:val>
            <c:numRef>
              <c:f>Мед.стационар!$F$337:$F$386</c:f>
              <c:numCache>
                <c:formatCode>0.0%</c:formatCode>
                <c:ptCount val="5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0"/>
        <c:axId val="130381696"/>
        <c:axId val="130383232"/>
      </c:lineChart>
      <c:catAx>
        <c:axId val="13038169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ru-RU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130383232"/>
        <c:crosses val="autoZero"/>
        <c:auto val="1"/>
        <c:lblAlgn val="ctr"/>
        <c:lblOffset val="100"/>
        <c:noMultiLvlLbl val="0"/>
      </c:catAx>
      <c:valAx>
        <c:axId val="130383232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ru-RU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130381696"/>
        <c:crosses val="autoZero"/>
        <c:crossBetween val="between"/>
      </c:valAx>
    </c:plotArea>
    <c:legend>
      <c:legendPos val="r"/>
      <c:layout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cac34c59-6e3b-466e-9242-b3626d55452a}"/>
      </c:ext>
    </c:extLst>
  </c:chart>
  <c:txPr>
    <a:bodyPr/>
    <a:lstStyle/>
    <a:p>
      <a:pPr>
        <a:defRPr lang="ru-RU"/>
      </a:pPr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marker>
            <c:symbol val="none"/>
          </c:marker>
          <c:dLbls>
            <c:delete val="1"/>
          </c:dLbls>
          <c:val>
            <c:numRef>
              <c:f>'Поликлиника,амбулаторий'!$E$73:$E$122</c:f>
              <c:numCache>
                <c:formatCode>0.0%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0.000185546875000012</c:v>
                </c:pt>
                <c:pt idx="10">
                  <c:v>0.0121907216494845</c:v>
                </c:pt>
                <c:pt idx="11">
                  <c:v>0.014253355704698</c:v>
                </c:pt>
                <c:pt idx="12">
                  <c:v>0.0164950980392157</c:v>
                </c:pt>
                <c:pt idx="13">
                  <c:v>0.0183626198083067</c:v>
                </c:pt>
                <c:pt idx="14">
                  <c:v>0.0198981191222571</c:v>
                </c:pt>
                <c:pt idx="15">
                  <c:v>0.0213769230769231</c:v>
                </c:pt>
                <c:pt idx="16">
                  <c:v>0.0237238805970149</c:v>
                </c:pt>
                <c:pt idx="17">
                  <c:v>0.0252850877192983</c:v>
                </c:pt>
                <c:pt idx="18">
                  <c:v>0.026573275862069</c:v>
                </c:pt>
                <c:pt idx="19">
                  <c:v>0.0280211267605634</c:v>
                </c:pt>
                <c:pt idx="20">
                  <c:v>0.0292174515235457</c:v>
                </c:pt>
                <c:pt idx="21">
                  <c:v>0.0307520325203252</c:v>
                </c:pt>
                <c:pt idx="22">
                  <c:v>0.0322214854111406</c:v>
                </c:pt>
                <c:pt idx="23">
                  <c:v>0.03345703125</c:v>
                </c:pt>
                <c:pt idx="24">
                  <c:v>0.0349809160305344</c:v>
                </c:pt>
                <c:pt idx="25">
                  <c:v>0.03611875</c:v>
                </c:pt>
                <c:pt idx="26">
                  <c:v>0.0376768292682927</c:v>
                </c:pt>
                <c:pt idx="27">
                  <c:v>0.0393052256532067</c:v>
                </c:pt>
                <c:pt idx="28">
                  <c:v>0.0442807424593968</c:v>
                </c:pt>
                <c:pt idx="29">
                  <c:v>0.053133484162896</c:v>
                </c:pt>
                <c:pt idx="30">
                  <c:v>0.0600554323725056</c:v>
                </c:pt>
                <c:pt idx="31">
                  <c:v>0.068866090712743</c:v>
                </c:pt>
                <c:pt idx="32">
                  <c:v>0.0737978723404255</c:v>
                </c:pt>
                <c:pt idx="33">
                  <c:v>0.0851848049281314</c:v>
                </c:pt>
                <c:pt idx="34">
                  <c:v>0.0915191146881288</c:v>
                </c:pt>
                <c:pt idx="35">
                  <c:v>0.104025096525097</c:v>
                </c:pt>
                <c:pt idx="36">
                  <c:v>0.111271186440678</c:v>
                </c:pt>
                <c:pt idx="37">
                  <c:v>0.119716636197441</c:v>
                </c:pt>
                <c:pt idx="38">
                  <c:v>0.128646017699115</c:v>
                </c:pt>
                <c:pt idx="39">
                  <c:v>0.137923076923077</c:v>
                </c:pt>
                <c:pt idx="40">
                  <c:v>0.147837171052632</c:v>
                </c:pt>
                <c:pt idx="41">
                  <c:v>0.158178233438486</c:v>
                </c:pt>
                <c:pt idx="42">
                  <c:v>0.169451127819549</c:v>
                </c:pt>
                <c:pt idx="43">
                  <c:v>0.183758815232722</c:v>
                </c:pt>
                <c:pt idx="44">
                  <c:v>0.199062909567497</c:v>
                </c:pt>
                <c:pt idx="45">
                  <c:v>0.216389221556886</c:v>
                </c:pt>
                <c:pt idx="46">
                  <c:v>0.238445732349842</c:v>
                </c:pt>
                <c:pt idx="47">
                  <c:v>0.261378842676311</c:v>
                </c:pt>
                <c:pt idx="48">
                  <c:v>0.299399606299213</c:v>
                </c:pt>
                <c:pt idx="49">
                  <c:v>0.341882107657316</c:v>
                </c:pt>
              </c:numCache>
            </c:numRef>
          </c:val>
          <c:smooth val="0"/>
        </c:ser>
        <c:ser>
          <c:idx val="2"/>
          <c:order val="1"/>
          <c:marker>
            <c:symbol val="none"/>
          </c:marker>
          <c:dLbls>
            <c:delete val="1"/>
          </c:dLbls>
          <c:val>
            <c:numRef>
              <c:f>'Поликлиника,амбулаторий'!$F$73:$F$122</c:f>
              <c:numCache>
                <c:formatCode>0.0%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0.00364062499999999</c:v>
                </c:pt>
                <c:pt idx="7">
                  <c:v>0.0069132075471698</c:v>
                </c:pt>
                <c:pt idx="8">
                  <c:v>0.0106231884057971</c:v>
                </c:pt>
                <c:pt idx="9">
                  <c:v>0.0125248226950355</c:v>
                </c:pt>
                <c:pt idx="10">
                  <c:v>0.0152302405498282</c:v>
                </c:pt>
                <c:pt idx="11">
                  <c:v>0.0172214765100671</c:v>
                </c:pt>
                <c:pt idx="12">
                  <c:v>0.0193856209150327</c:v>
                </c:pt>
                <c:pt idx="13">
                  <c:v>0.0211884984025559</c:v>
                </c:pt>
                <c:pt idx="14">
                  <c:v>0.0226708463949843</c:v>
                </c:pt>
                <c:pt idx="15">
                  <c:v>0.0240984615384615</c:v>
                </c:pt>
                <c:pt idx="16">
                  <c:v>0.0263641791044776</c:v>
                </c:pt>
                <c:pt idx="17">
                  <c:v>0.0278713450292398</c:v>
                </c:pt>
                <c:pt idx="18">
                  <c:v>0.0291149425287356</c:v>
                </c:pt>
                <c:pt idx="19">
                  <c:v>0.030512676056338</c:v>
                </c:pt>
                <c:pt idx="20">
                  <c:v>0.0316675900277008</c:v>
                </c:pt>
                <c:pt idx="21">
                  <c:v>0.0331490514905149</c:v>
                </c:pt>
                <c:pt idx="22">
                  <c:v>0.0345676392572944</c:v>
                </c:pt>
                <c:pt idx="23">
                  <c:v>0.0357604166666667</c:v>
                </c:pt>
                <c:pt idx="24">
                  <c:v>0.0372315521628499</c:v>
                </c:pt>
                <c:pt idx="25">
                  <c:v>0.03833</c:v>
                </c:pt>
                <c:pt idx="26">
                  <c:v>0.0398341463414634</c:v>
                </c:pt>
                <c:pt idx="27">
                  <c:v>0.048437054631829</c:v>
                </c:pt>
                <c:pt idx="28">
                  <c:v>0.0565939675174014</c:v>
                </c:pt>
                <c:pt idx="29">
                  <c:v>0.0651402714932127</c:v>
                </c:pt>
                <c:pt idx="30">
                  <c:v>0.0718226164079823</c:v>
                </c:pt>
                <c:pt idx="31">
                  <c:v>0.080328293736501</c:v>
                </c:pt>
                <c:pt idx="32">
                  <c:v>0.0850893617021276</c:v>
                </c:pt>
                <c:pt idx="33">
                  <c:v>0.096082135523614</c:v>
                </c:pt>
                <c:pt idx="34">
                  <c:v>0.102197183098592</c:v>
                </c:pt>
                <c:pt idx="35">
                  <c:v>0.11427027027027</c:v>
                </c:pt>
                <c:pt idx="36">
                  <c:v>0.121265536723164</c:v>
                </c:pt>
                <c:pt idx="37">
                  <c:v>0.129418647166362</c:v>
                </c:pt>
                <c:pt idx="38">
                  <c:v>0.138038938053097</c:v>
                </c:pt>
                <c:pt idx="39">
                  <c:v>0.146994871794872</c:v>
                </c:pt>
                <c:pt idx="40">
                  <c:v>0.156565789473684</c:v>
                </c:pt>
                <c:pt idx="41">
                  <c:v>0.166548895899054</c:v>
                </c:pt>
                <c:pt idx="42">
                  <c:v>0.177431578947368</c:v>
                </c:pt>
                <c:pt idx="43">
                  <c:v>0.191244005641749</c:v>
                </c:pt>
                <c:pt idx="44">
                  <c:v>0.206018348623853</c:v>
                </c:pt>
                <c:pt idx="45">
                  <c:v>0.222744910179641</c:v>
                </c:pt>
                <c:pt idx="46">
                  <c:v>0.244037934668072</c:v>
                </c:pt>
                <c:pt idx="47">
                  <c:v>0.266177215189873</c:v>
                </c:pt>
                <c:pt idx="48">
                  <c:v>0.30288188976378</c:v>
                </c:pt>
                <c:pt idx="49">
                  <c:v>0.343893858984079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'Поликлиника,амбулаторий'!$D$70</c:f>
              <c:strCache>
                <c:ptCount val="1"/>
                <c:pt idx="0">
                  <c:v>Потенциал экономии</c:v>
                </c:pt>
              </c:strCache>
            </c:strRef>
          </c:tx>
          <c:marker>
            <c:symbol val="none"/>
          </c:marker>
          <c:dLbls>
            <c:delete val="1"/>
          </c:dLbls>
          <c:val>
            <c:numRef>
              <c:f>'Поликлиника,амбулаторий'!$D$73:$D$122</c:f>
              <c:numCache>
                <c:formatCode>0.0%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0.00185546875000012</c:v>
                </c:pt>
                <c:pt idx="7">
                  <c:v>0.0357547169811321</c:v>
                </c:pt>
                <c:pt idx="8">
                  <c:v>0.0741847826086958</c:v>
                </c:pt>
                <c:pt idx="9">
                  <c:v>0.0938829787234043</c:v>
                </c:pt>
                <c:pt idx="10">
                  <c:v>0.121907216494845</c:v>
                </c:pt>
                <c:pt idx="11">
                  <c:v>0.14253355704698</c:v>
                </c:pt>
                <c:pt idx="12">
                  <c:v>0.164950980392157</c:v>
                </c:pt>
                <c:pt idx="13">
                  <c:v>0.183626198083067</c:v>
                </c:pt>
                <c:pt idx="14">
                  <c:v>0.198981191222571</c:v>
                </c:pt>
                <c:pt idx="15">
                  <c:v>0.213769230769231</c:v>
                </c:pt>
                <c:pt idx="16">
                  <c:v>0.237238805970149</c:v>
                </c:pt>
                <c:pt idx="17">
                  <c:v>0.252850877192983</c:v>
                </c:pt>
                <c:pt idx="18">
                  <c:v>0.26573275862069</c:v>
                </c:pt>
                <c:pt idx="19">
                  <c:v>0.280211267605634</c:v>
                </c:pt>
                <c:pt idx="20">
                  <c:v>0.292174515235457</c:v>
                </c:pt>
                <c:pt idx="21">
                  <c:v>0.307520325203252</c:v>
                </c:pt>
                <c:pt idx="22">
                  <c:v>0.322214854111406</c:v>
                </c:pt>
                <c:pt idx="23">
                  <c:v>0.3345703125</c:v>
                </c:pt>
                <c:pt idx="24">
                  <c:v>0.349809160305343</c:v>
                </c:pt>
                <c:pt idx="25">
                  <c:v>0.3611875</c:v>
                </c:pt>
                <c:pt idx="26">
                  <c:v>0.376768292682927</c:v>
                </c:pt>
                <c:pt idx="27">
                  <c:v>0.393052256532067</c:v>
                </c:pt>
                <c:pt idx="28">
                  <c:v>0.407134570765661</c:v>
                </c:pt>
                <c:pt idx="29">
                  <c:v>0.421889140271493</c:v>
                </c:pt>
                <c:pt idx="30">
                  <c:v>0.433425720620843</c:v>
                </c:pt>
                <c:pt idx="31">
                  <c:v>0.448110151187905</c:v>
                </c:pt>
                <c:pt idx="32">
                  <c:v>0.456329787234043</c:v>
                </c:pt>
                <c:pt idx="33">
                  <c:v>0.475308008213552</c:v>
                </c:pt>
                <c:pt idx="34">
                  <c:v>0.485865191146881</c:v>
                </c:pt>
                <c:pt idx="35">
                  <c:v>0.506708494208494</c:v>
                </c:pt>
                <c:pt idx="36">
                  <c:v>0.518785310734463</c:v>
                </c:pt>
                <c:pt idx="37">
                  <c:v>0.532861060329068</c:v>
                </c:pt>
                <c:pt idx="38">
                  <c:v>0.547743362831858</c:v>
                </c:pt>
                <c:pt idx="39">
                  <c:v>0.563205128205128</c:v>
                </c:pt>
                <c:pt idx="40">
                  <c:v>0.579728618421053</c:v>
                </c:pt>
                <c:pt idx="41">
                  <c:v>0.596963722397476</c:v>
                </c:pt>
                <c:pt idx="42">
                  <c:v>0.615751879699248</c:v>
                </c:pt>
                <c:pt idx="43">
                  <c:v>0.63959802538787</c:v>
                </c:pt>
                <c:pt idx="44">
                  <c:v>0.665104849279161</c:v>
                </c:pt>
                <c:pt idx="45">
                  <c:v>0.693982035928144</c:v>
                </c:pt>
                <c:pt idx="46">
                  <c:v>0.730742887249737</c:v>
                </c:pt>
                <c:pt idx="47">
                  <c:v>0.768964737793852</c:v>
                </c:pt>
                <c:pt idx="48">
                  <c:v>0.832332677165354</c:v>
                </c:pt>
                <c:pt idx="49">
                  <c:v>0.903136846095527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0"/>
        <c:axId val="130135168"/>
        <c:axId val="130136704"/>
      </c:lineChart>
      <c:catAx>
        <c:axId val="13013516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ru-RU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130136704"/>
        <c:crosses val="autoZero"/>
        <c:auto val="1"/>
        <c:lblAlgn val="ctr"/>
        <c:lblOffset val="100"/>
        <c:noMultiLvlLbl val="0"/>
      </c:catAx>
      <c:valAx>
        <c:axId val="130136704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ru-RU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130135168"/>
        <c:crosses val="autoZero"/>
        <c:crossBetween val="between"/>
      </c:valAx>
    </c:plotArea>
    <c:legend>
      <c:legendPos val="r"/>
      <c:layout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89e3cb14-8f2b-4bb7-ae5b-c14a91aeb59f}"/>
      </c:ext>
    </c:extLst>
  </c:chart>
  <c:txPr>
    <a:bodyPr/>
    <a:lstStyle/>
    <a:p>
      <a:pPr>
        <a:defRPr lang="ru-RU"/>
      </a:pPr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'Крыт.спорт.сооруж-е'!$D$201</c:f>
              <c:strCache>
                <c:ptCount val="1"/>
                <c:pt idx="0">
                  <c:v>Потенциал экономии</c:v>
                </c:pt>
              </c:strCache>
            </c:strRef>
          </c:tx>
          <c:marker>
            <c:symbol val="none"/>
          </c:marker>
          <c:dLbls>
            <c:delete val="1"/>
          </c:dLbls>
          <c:val>
            <c:numRef>
              <c:f>'Крыт.спорт.сооруж-е'!$D$204:$D$253</c:f>
              <c:numCache>
                <c:formatCode>0.0%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0.0609433962264152</c:v>
                </c:pt>
                <c:pt idx="25">
                  <c:v>0.163529411764706</c:v>
                </c:pt>
                <c:pt idx="26">
                  <c:v>0.257164179104478</c:v>
                </c:pt>
                <c:pt idx="27">
                  <c:v>0.318219178082192</c:v>
                </c:pt>
                <c:pt idx="28">
                  <c:v>0.361923076923077</c:v>
                </c:pt>
                <c:pt idx="29">
                  <c:v>0.4075</c:v>
                </c:pt>
                <c:pt idx="30">
                  <c:v>0.44391061452514</c:v>
                </c:pt>
                <c:pt idx="31">
                  <c:v>0.499798994974874</c:v>
                </c:pt>
                <c:pt idx="32">
                  <c:v>0.547545454545455</c:v>
                </c:pt>
                <c:pt idx="33">
                  <c:v>0.58525</c:v>
                </c:pt>
                <c:pt idx="34">
                  <c:v>0.615675675675676</c:v>
                </c:pt>
                <c:pt idx="35">
                  <c:v>0.64576512455516</c:v>
                </c:pt>
                <c:pt idx="36">
                  <c:v>0.673639344262295</c:v>
                </c:pt>
                <c:pt idx="37">
                  <c:v>0.706371681415929</c:v>
                </c:pt>
                <c:pt idx="38">
                  <c:v>0.724265927977839</c:v>
                </c:pt>
                <c:pt idx="39">
                  <c:v>0.733850267379679</c:v>
                </c:pt>
                <c:pt idx="40">
                  <c:v>0.757810218978102</c:v>
                </c:pt>
                <c:pt idx="41">
                  <c:v>0.772219679633867</c:v>
                </c:pt>
                <c:pt idx="42">
                  <c:v>0.788662420382166</c:v>
                </c:pt>
                <c:pt idx="43">
                  <c:v>0.808576923076923</c:v>
                </c:pt>
                <c:pt idx="44">
                  <c:v>0.834925373134328</c:v>
                </c:pt>
                <c:pt idx="45">
                  <c:v>0.85698275862069</c:v>
                </c:pt>
                <c:pt idx="46">
                  <c:v>0.869882352941176</c:v>
                </c:pt>
                <c:pt idx="47">
                  <c:v>0.892621359223301</c:v>
                </c:pt>
                <c:pt idx="48">
                  <c:v>0.90714552238806</c:v>
                </c:pt>
                <c:pt idx="49">
                  <c:v>0.914411006018917</c:v>
                </c:pt>
              </c:numCache>
            </c:numRef>
          </c:val>
          <c:smooth val="0"/>
        </c:ser>
        <c:ser>
          <c:idx val="1"/>
          <c:order val="1"/>
          <c:marker>
            <c:symbol val="none"/>
          </c:marker>
          <c:dLbls>
            <c:delete val="1"/>
          </c:dLbls>
          <c:val>
            <c:numRef>
              <c:f>'Крыт.спорт.сооруж-е'!$E$204:$E$253</c:f>
              <c:numCache>
                <c:formatCode>0.0%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5">
                  <c:v>0.0163529411764706</c:v>
                </c:pt>
                <c:pt idx="26">
                  <c:v>0.0257164179104478</c:v>
                </c:pt>
                <c:pt idx="27">
                  <c:v>0.0318219178082192</c:v>
                </c:pt>
                <c:pt idx="28">
                  <c:v>0.0361923076923077</c:v>
                </c:pt>
                <c:pt idx="29">
                  <c:v>0.0445</c:v>
                </c:pt>
                <c:pt idx="30">
                  <c:v>0.0663463687150838</c:v>
                </c:pt>
                <c:pt idx="31">
                  <c:v>0.0998793969849246</c:v>
                </c:pt>
                <c:pt idx="32">
                  <c:v>0.128527272727273</c:v>
                </c:pt>
                <c:pt idx="33">
                  <c:v>0.15115</c:v>
                </c:pt>
                <c:pt idx="34">
                  <c:v>0.169405405405405</c:v>
                </c:pt>
                <c:pt idx="35">
                  <c:v>0.187459074733096</c:v>
                </c:pt>
                <c:pt idx="36">
                  <c:v>0.204183606557377</c:v>
                </c:pt>
                <c:pt idx="37">
                  <c:v>0.223823008849558</c:v>
                </c:pt>
                <c:pt idx="38">
                  <c:v>0.234559556786704</c:v>
                </c:pt>
                <c:pt idx="39">
                  <c:v>0.240310160427808</c:v>
                </c:pt>
                <c:pt idx="40">
                  <c:v>0.254686131386861</c:v>
                </c:pt>
                <c:pt idx="41">
                  <c:v>0.26333180778032</c:v>
                </c:pt>
                <c:pt idx="42">
                  <c:v>0.273197452229299</c:v>
                </c:pt>
                <c:pt idx="43">
                  <c:v>0.285146153846154</c:v>
                </c:pt>
                <c:pt idx="44">
                  <c:v>0.300955223880597</c:v>
                </c:pt>
                <c:pt idx="45">
                  <c:v>0.314189655172414</c:v>
                </c:pt>
                <c:pt idx="46">
                  <c:v>0.321929411764706</c:v>
                </c:pt>
                <c:pt idx="47">
                  <c:v>0.335572815533981</c:v>
                </c:pt>
                <c:pt idx="48">
                  <c:v>0.344287313432836</c:v>
                </c:pt>
                <c:pt idx="49">
                  <c:v>0.34864660361135</c:v>
                </c:pt>
              </c:numCache>
            </c:numRef>
          </c:val>
          <c:smooth val="0"/>
        </c:ser>
        <c:ser>
          <c:idx val="2"/>
          <c:order val="2"/>
          <c:marker>
            <c:symbol val="none"/>
          </c:marker>
          <c:dLbls>
            <c:delete val="1"/>
          </c:dLbls>
          <c:val>
            <c:numRef>
              <c:f>'Крыт.спорт.сооруж-е'!$F$204:$F$253</c:f>
              <c:numCache>
                <c:formatCode>0.0%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0.00830769230769231</c:v>
                </c:pt>
                <c:pt idx="24">
                  <c:v>0.0212830188679245</c:v>
                </c:pt>
                <c:pt idx="25">
                  <c:v>0.0298823529411765</c:v>
                </c:pt>
                <c:pt idx="26">
                  <c:v>0.0377313432835821</c:v>
                </c:pt>
                <c:pt idx="27">
                  <c:v>0.0570958904109589</c:v>
                </c:pt>
                <c:pt idx="28">
                  <c:v>0.0790769230769231</c:v>
                </c:pt>
                <c:pt idx="29">
                  <c:v>0.102</c:v>
                </c:pt>
                <c:pt idx="30">
                  <c:v>0.120312849162011</c:v>
                </c:pt>
                <c:pt idx="31">
                  <c:v>0.148422110552764</c:v>
                </c:pt>
                <c:pt idx="32">
                  <c:v>0.172436363636364</c:v>
                </c:pt>
                <c:pt idx="33">
                  <c:v>0.1914</c:v>
                </c:pt>
                <c:pt idx="34">
                  <c:v>0.206702702702703</c:v>
                </c:pt>
                <c:pt idx="35">
                  <c:v>0.221836298932384</c:v>
                </c:pt>
                <c:pt idx="36">
                  <c:v>0.235855737704918</c:v>
                </c:pt>
                <c:pt idx="37">
                  <c:v>0.252318584070796</c:v>
                </c:pt>
                <c:pt idx="38">
                  <c:v>0.261318559556787</c:v>
                </c:pt>
                <c:pt idx="39">
                  <c:v>0.266139037433155</c:v>
                </c:pt>
                <c:pt idx="40">
                  <c:v>0.278189781021898</c:v>
                </c:pt>
                <c:pt idx="41">
                  <c:v>0.285437070938215</c:v>
                </c:pt>
                <c:pt idx="42">
                  <c:v>0.293707006369427</c:v>
                </c:pt>
                <c:pt idx="43">
                  <c:v>0.303723076923077</c:v>
                </c:pt>
                <c:pt idx="44">
                  <c:v>0.316975124378109</c:v>
                </c:pt>
                <c:pt idx="45">
                  <c:v>0.328068965517241</c:v>
                </c:pt>
                <c:pt idx="46">
                  <c:v>0.334556862745098</c:v>
                </c:pt>
                <c:pt idx="47">
                  <c:v>0.345993527508091</c:v>
                </c:pt>
                <c:pt idx="48">
                  <c:v>0.353298507462687</c:v>
                </c:pt>
                <c:pt idx="49">
                  <c:v>0.356952708512468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0"/>
        <c:axId val="130569728"/>
        <c:axId val="130571264"/>
      </c:lineChart>
      <c:catAx>
        <c:axId val="13056972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ru-RU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130571264"/>
        <c:crosses val="autoZero"/>
        <c:auto val="1"/>
        <c:lblAlgn val="ctr"/>
        <c:lblOffset val="100"/>
        <c:noMultiLvlLbl val="0"/>
      </c:catAx>
      <c:valAx>
        <c:axId val="130571264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ru-RU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130569728"/>
        <c:crosses val="autoZero"/>
        <c:crossBetween val="between"/>
      </c:valAx>
    </c:plotArea>
    <c:legend>
      <c:legendPos val="r"/>
      <c:layout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fd85c419-d8b5-44f8-97ec-d05a52ebf16a}"/>
      </c:ext>
    </c:extLst>
  </c:chart>
  <c:txPr>
    <a:bodyPr/>
    <a:lstStyle/>
    <a:p>
      <a:pPr>
        <a:defRPr lang="ru-RU"/>
      </a:pPr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6014248218973"/>
          <c:y val="0.0532494948922752"/>
          <c:w val="0.610923087739033"/>
          <c:h val="0.826598689552295"/>
        </c:manualLayout>
      </c:layout>
      <c:lineChart>
        <c:grouping val="standard"/>
        <c:varyColors val="0"/>
        <c:ser>
          <c:idx val="1"/>
          <c:order val="0"/>
          <c:marker>
            <c:symbol val="none"/>
          </c:marker>
          <c:dLbls>
            <c:delete val="1"/>
          </c:dLbls>
          <c:val>
            <c:numRef>
              <c:f>'Крыт.спорт.сооруж-е'!$E$138:$E$187</c:f>
              <c:numCache>
                <c:formatCode>0.0%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0.0121971830985915</c:v>
                </c:pt>
                <c:pt idx="29">
                  <c:v>0.0179736842105263</c:v>
                </c:pt>
                <c:pt idx="30">
                  <c:v>0.022075</c:v>
                </c:pt>
                <c:pt idx="31">
                  <c:v>0.0299550561797753</c:v>
                </c:pt>
                <c:pt idx="32">
                  <c:v>0.0660357142857143</c:v>
                </c:pt>
                <c:pt idx="33">
                  <c:v>0.118766917293233</c:v>
                </c:pt>
                <c:pt idx="34">
                  <c:v>0.14727027027027</c:v>
                </c:pt>
                <c:pt idx="35">
                  <c:v>0.16326582278481</c:v>
                </c:pt>
                <c:pt idx="36">
                  <c:v>0.191039106145251</c:v>
                </c:pt>
                <c:pt idx="37">
                  <c:v>0.223566037735849</c:v>
                </c:pt>
                <c:pt idx="38">
                  <c:v>0.241508474576271</c:v>
                </c:pt>
                <c:pt idx="39">
                  <c:v>0.258318181818182</c:v>
                </c:pt>
                <c:pt idx="40">
                  <c:v>0.272341296928328</c:v>
                </c:pt>
                <c:pt idx="41">
                  <c:v>0.288011976047904</c:v>
                </c:pt>
                <c:pt idx="42">
                  <c:v>0.300256</c:v>
                </c:pt>
                <c:pt idx="43">
                  <c:v>0.306255639097744</c:v>
                </c:pt>
                <c:pt idx="44">
                  <c:v>0.320417021276596</c:v>
                </c:pt>
                <c:pt idx="45">
                  <c:v>0.325192</c:v>
                </c:pt>
                <c:pt idx="46">
                  <c:v>0.33368085106383</c:v>
                </c:pt>
                <c:pt idx="47">
                  <c:v>0.343413010590015</c:v>
                </c:pt>
                <c:pt idx="48">
                  <c:v>0.348479338842975</c:v>
                </c:pt>
                <c:pt idx="49">
                  <c:v>0.355471428571429</c:v>
                </c:pt>
              </c:numCache>
            </c:numRef>
          </c:val>
          <c:smooth val="0"/>
        </c:ser>
        <c:ser>
          <c:idx val="2"/>
          <c:order val="1"/>
          <c:marker>
            <c:symbol val="none"/>
          </c:marker>
          <c:dLbls>
            <c:delete val="1"/>
          </c:dLbls>
          <c:val>
            <c:numRef>
              <c:f>'Крыт.спорт.сооруж-е'!$F$138:$F$187</c:f>
              <c:numCache>
                <c:formatCode>0.0%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0.00533333333333334</c:v>
                </c:pt>
                <c:pt idx="25">
                  <c:v>0.0109019607843137</c:v>
                </c:pt>
                <c:pt idx="26">
                  <c:v>0.0158518518518519</c:v>
                </c:pt>
                <c:pt idx="27">
                  <c:v>0.0267096774193548</c:v>
                </c:pt>
                <c:pt idx="28">
                  <c:v>0.036</c:v>
                </c:pt>
                <c:pt idx="29">
                  <c:v>0.0412631578947369</c:v>
                </c:pt>
                <c:pt idx="30">
                  <c:v>0.0592</c:v>
                </c:pt>
                <c:pt idx="31">
                  <c:v>0.0936629213483146</c:v>
                </c:pt>
                <c:pt idx="32">
                  <c:v>0.156571428571429</c:v>
                </c:pt>
                <c:pt idx="33">
                  <c:v>0.195007518796992</c:v>
                </c:pt>
                <c:pt idx="34">
                  <c:v>0.215783783783784</c:v>
                </c:pt>
                <c:pt idx="35">
                  <c:v>0.227443037974684</c:v>
                </c:pt>
                <c:pt idx="36">
                  <c:v>0.247687150837989</c:v>
                </c:pt>
                <c:pt idx="37">
                  <c:v>0.271396226415094</c:v>
                </c:pt>
                <c:pt idx="38">
                  <c:v>0.284474576271186</c:v>
                </c:pt>
                <c:pt idx="39">
                  <c:v>0.296727272727273</c:v>
                </c:pt>
                <c:pt idx="40">
                  <c:v>0.306948805460751</c:v>
                </c:pt>
                <c:pt idx="41">
                  <c:v>0.31837125748503</c:v>
                </c:pt>
                <c:pt idx="42">
                  <c:v>0.327296</c:v>
                </c:pt>
                <c:pt idx="43">
                  <c:v>0.331669172932331</c:v>
                </c:pt>
                <c:pt idx="44">
                  <c:v>0.341991489361702</c:v>
                </c:pt>
                <c:pt idx="45">
                  <c:v>0.345472</c:v>
                </c:pt>
                <c:pt idx="46">
                  <c:v>0.351659574468085</c:v>
                </c:pt>
                <c:pt idx="47">
                  <c:v>0.358753403933434</c:v>
                </c:pt>
                <c:pt idx="48">
                  <c:v>0.362446280991736</c:v>
                </c:pt>
                <c:pt idx="49">
                  <c:v>0.367542857142857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'Крыт.спорт.сооруж-е'!$D$135</c:f>
              <c:strCache>
                <c:ptCount val="1"/>
                <c:pt idx="0">
                  <c:v>Потенциал экономии</c:v>
                </c:pt>
              </c:strCache>
            </c:strRef>
          </c:tx>
          <c:marker>
            <c:symbol val="none"/>
          </c:marker>
          <c:dLbls>
            <c:delete val="1"/>
          </c:dLbls>
          <c:val>
            <c:numRef>
              <c:f>'Крыт.спорт.сооруж-е'!$D$138:$D$187</c:f>
              <c:numCache>
                <c:formatCode>0.0%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0.121971830985915</c:v>
                </c:pt>
                <c:pt idx="29">
                  <c:v>0.179736842105263</c:v>
                </c:pt>
                <c:pt idx="30">
                  <c:v>0.22075</c:v>
                </c:pt>
                <c:pt idx="31">
                  <c:v>0.299550561797753</c:v>
                </c:pt>
                <c:pt idx="32">
                  <c:v>0.443392857142857</c:v>
                </c:pt>
                <c:pt idx="33">
                  <c:v>0.531278195488722</c:v>
                </c:pt>
                <c:pt idx="34">
                  <c:v>0.578783783783784</c:v>
                </c:pt>
                <c:pt idx="35">
                  <c:v>0.605443037974684</c:v>
                </c:pt>
                <c:pt idx="36">
                  <c:v>0.651731843575419</c:v>
                </c:pt>
                <c:pt idx="37">
                  <c:v>0.705943396226415</c:v>
                </c:pt>
                <c:pt idx="38">
                  <c:v>0.735847457627119</c:v>
                </c:pt>
                <c:pt idx="39">
                  <c:v>0.763863636363636</c:v>
                </c:pt>
                <c:pt idx="40">
                  <c:v>0.787235494880546</c:v>
                </c:pt>
                <c:pt idx="41">
                  <c:v>0.813353293413174</c:v>
                </c:pt>
                <c:pt idx="42">
                  <c:v>0.83376</c:v>
                </c:pt>
                <c:pt idx="43">
                  <c:v>0.843759398496241</c:v>
                </c:pt>
                <c:pt idx="44">
                  <c:v>0.86736170212766</c:v>
                </c:pt>
                <c:pt idx="45">
                  <c:v>0.87532</c:v>
                </c:pt>
                <c:pt idx="46">
                  <c:v>0.889468085106383</c:v>
                </c:pt>
                <c:pt idx="47">
                  <c:v>0.905688350983359</c:v>
                </c:pt>
                <c:pt idx="48">
                  <c:v>0.914132231404959</c:v>
                </c:pt>
                <c:pt idx="49">
                  <c:v>0.925785714285714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0"/>
        <c:axId val="130606592"/>
        <c:axId val="130608128"/>
      </c:lineChart>
      <c:catAx>
        <c:axId val="13060659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ru-RU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130608128"/>
        <c:crosses val="autoZero"/>
        <c:auto val="1"/>
        <c:lblAlgn val="ctr"/>
        <c:lblOffset val="100"/>
        <c:noMultiLvlLbl val="0"/>
      </c:catAx>
      <c:valAx>
        <c:axId val="130608128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ru-RU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130606592"/>
        <c:crosses val="autoZero"/>
        <c:crossBetween val="between"/>
      </c:valAx>
    </c:plotArea>
    <c:legend>
      <c:legendPos val="r"/>
      <c:layout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455d81e9-3caa-468f-b973-6a72d0818401}"/>
      </c:ext>
    </c:extLst>
  </c:chart>
  <c:txPr>
    <a:bodyPr/>
    <a:lstStyle/>
    <a:p>
      <a:pPr>
        <a:defRPr lang="ru-RU"/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Музеи!$D$201</c:f>
              <c:strCache>
                <c:ptCount val="1"/>
                <c:pt idx="0">
                  <c:v>Потенциал экономии</c:v>
                </c:pt>
              </c:strCache>
            </c:strRef>
          </c:tx>
          <c:marker>
            <c:symbol val="none"/>
          </c:marker>
          <c:dLbls>
            <c:delete val="1"/>
          </c:dLbls>
          <c:val>
            <c:numRef>
              <c:f>Музеи!$D$204:$D$253</c:f>
              <c:numCache>
                <c:formatCode>0.0%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0.0750833333333332</c:v>
                </c:pt>
                <c:pt idx="37">
                  <c:v>0.425913793103448</c:v>
                </c:pt>
                <c:pt idx="38">
                  <c:v>0.707921052631579</c:v>
                </c:pt>
                <c:pt idx="39">
                  <c:v>0.820983870967742</c:v>
                </c:pt>
                <c:pt idx="40">
                  <c:v>0.851352678571429</c:v>
                </c:pt>
                <c:pt idx="41">
                  <c:v>0.875757462686567</c:v>
                </c:pt>
                <c:pt idx="42">
                  <c:v>0.904318965517241</c:v>
                </c:pt>
                <c:pt idx="43">
                  <c:v>0.920342105263158</c:v>
                </c:pt>
                <c:pt idx="44">
                  <c:v>0.931768442622951</c:v>
                </c:pt>
                <c:pt idx="45">
                  <c:v>0.942984589041096</c:v>
                </c:pt>
                <c:pt idx="46">
                  <c:v>0.957311538461538</c:v>
                </c:pt>
                <c:pt idx="47">
                  <c:v>0.970376334519573</c:v>
                </c:pt>
                <c:pt idx="48">
                  <c:v>0.983080792682927</c:v>
                </c:pt>
                <c:pt idx="49">
                  <c:v>0.988751013513514</c:v>
                </c:pt>
              </c:numCache>
            </c:numRef>
          </c:val>
          <c:smooth val="0"/>
        </c:ser>
        <c:ser>
          <c:idx val="1"/>
          <c:order val="1"/>
          <c:marker>
            <c:symbol val="none"/>
          </c:marker>
          <c:dLbls>
            <c:delete val="1"/>
          </c:dLbls>
          <c:val>
            <c:numRef>
              <c:f>Музеи!$E$204:$E$253</c:f>
              <c:numCache>
                <c:formatCode>0.0%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7">
                  <c:v>0.0555482758620689</c:v>
                </c:pt>
                <c:pt idx="38">
                  <c:v>0.224752631578947</c:v>
                </c:pt>
                <c:pt idx="39">
                  <c:v>0.292590322580645</c:v>
                </c:pt>
                <c:pt idx="40">
                  <c:v>0.310811607142857</c:v>
                </c:pt>
                <c:pt idx="41">
                  <c:v>0.32545447761194</c:v>
                </c:pt>
                <c:pt idx="42">
                  <c:v>0.342591379310345</c:v>
                </c:pt>
                <c:pt idx="43">
                  <c:v>0.352205263157895</c:v>
                </c:pt>
                <c:pt idx="44">
                  <c:v>0.35906106557377</c:v>
                </c:pt>
                <c:pt idx="45">
                  <c:v>0.365790753424658</c:v>
                </c:pt>
                <c:pt idx="46">
                  <c:v>0.374386923076923</c:v>
                </c:pt>
                <c:pt idx="47">
                  <c:v>0.382225800711744</c:v>
                </c:pt>
                <c:pt idx="48">
                  <c:v>0.389848475609756</c:v>
                </c:pt>
                <c:pt idx="49">
                  <c:v>0.393250608108108</c:v>
                </c:pt>
              </c:numCache>
            </c:numRef>
          </c:val>
          <c:smooth val="0"/>
        </c:ser>
        <c:ser>
          <c:idx val="2"/>
          <c:order val="2"/>
          <c:marker>
            <c:symbol val="none"/>
          </c:marker>
          <c:dLbls>
            <c:delete val="1"/>
          </c:dLbls>
          <c:val>
            <c:numRef>
              <c:f>Музеи!$F$204:$F$253</c:f>
              <c:numCache>
                <c:formatCode>0.0%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0.00580000000000001</c:v>
                </c:pt>
                <c:pt idx="37">
                  <c:v>0.302551724137931</c:v>
                </c:pt>
                <c:pt idx="38">
                  <c:v>0.350421052631579</c:v>
                </c:pt>
                <c:pt idx="39">
                  <c:v>0.369612903225806</c:v>
                </c:pt>
                <c:pt idx="40">
                  <c:v>0.374767857142857</c:v>
                </c:pt>
                <c:pt idx="41">
                  <c:v>0.378910447761194</c:v>
                </c:pt>
                <c:pt idx="42">
                  <c:v>0.383758620689655</c:v>
                </c:pt>
                <c:pt idx="43">
                  <c:v>0.386478468899522</c:v>
                </c:pt>
                <c:pt idx="44">
                  <c:v>0.388418032786885</c:v>
                </c:pt>
                <c:pt idx="45">
                  <c:v>0.390321917808219</c:v>
                </c:pt>
                <c:pt idx="46">
                  <c:v>0.392753846153846</c:v>
                </c:pt>
                <c:pt idx="47">
                  <c:v>0.39497153024911</c:v>
                </c:pt>
                <c:pt idx="48">
                  <c:v>0.397128048780488</c:v>
                </c:pt>
                <c:pt idx="49">
                  <c:v>0.398090540540541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0"/>
        <c:axId val="127801600"/>
        <c:axId val="127807488"/>
      </c:lineChart>
      <c:catAx>
        <c:axId val="12780160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ru-RU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127807488"/>
        <c:crosses val="autoZero"/>
        <c:auto val="1"/>
        <c:lblAlgn val="ctr"/>
        <c:lblOffset val="100"/>
        <c:noMultiLvlLbl val="0"/>
      </c:catAx>
      <c:valAx>
        <c:axId val="127807488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ru-RU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127801600"/>
        <c:crosses val="autoZero"/>
        <c:crossBetween val="between"/>
      </c:valAx>
    </c:plotArea>
    <c:legend>
      <c:legendPos val="r"/>
      <c:layout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fae17d6a-0de3-4bdd-8814-9ffabf6e199f}"/>
      </c:ext>
    </c:extLst>
  </c:chart>
  <c:txPr>
    <a:bodyPr/>
    <a:lstStyle/>
    <a:p>
      <a:pPr>
        <a:defRPr lang="ru-RU"/>
      </a:pPr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Музеи!$D$267</c:f>
              <c:strCache>
                <c:ptCount val="1"/>
                <c:pt idx="0">
                  <c:v>Потенциал экономии</c:v>
                </c:pt>
              </c:strCache>
            </c:strRef>
          </c:tx>
          <c:marker>
            <c:symbol val="none"/>
          </c:marker>
          <c:dLbls>
            <c:delete val="1"/>
          </c:dLbls>
          <c:val>
            <c:numRef>
              <c:f>Музеи!$D$270:$D$319</c:f>
              <c:numCache>
                <c:formatCode>0.0%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  <c:smooth val="0"/>
        </c:ser>
        <c:ser>
          <c:idx val="1"/>
          <c:order val="1"/>
          <c:marker>
            <c:symbol val="none"/>
          </c:marker>
          <c:dLbls>
            <c:delete val="1"/>
          </c:dLbls>
          <c:val>
            <c:numRef>
              <c:f>Музеи!$E$270:$E$319</c:f>
              <c:numCache>
                <c:formatCode>0.0%</c:formatCode>
                <c:ptCount val="50"/>
              </c:numCache>
            </c:numRef>
          </c:val>
          <c:smooth val="0"/>
        </c:ser>
        <c:ser>
          <c:idx val="2"/>
          <c:order val="2"/>
          <c:marker>
            <c:symbol val="none"/>
          </c:marker>
          <c:dLbls>
            <c:delete val="1"/>
          </c:dLbls>
          <c:val>
            <c:numRef>
              <c:f>Музеи!$F$270:$F$319</c:f>
              <c:numCache>
                <c:formatCode>0.0%</c:formatCode>
                <c:ptCount val="5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0"/>
        <c:axId val="127465728"/>
        <c:axId val="127827968"/>
      </c:lineChart>
      <c:catAx>
        <c:axId val="12746572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ru-RU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127827968"/>
        <c:crosses val="autoZero"/>
        <c:auto val="1"/>
        <c:lblAlgn val="ctr"/>
        <c:lblOffset val="100"/>
        <c:noMultiLvlLbl val="0"/>
      </c:catAx>
      <c:valAx>
        <c:axId val="127827968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ru-RU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127465728"/>
        <c:crosses val="autoZero"/>
        <c:crossBetween val="between"/>
      </c:valAx>
    </c:plotArea>
    <c:legend>
      <c:legendPos val="r"/>
      <c:layout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a2d7893d-3816-4a7f-990e-29bb3ebf0acc}"/>
      </c:ext>
    </c:extLst>
  </c:chart>
  <c:txPr>
    <a:bodyPr/>
    <a:lstStyle/>
    <a:p>
      <a:pPr>
        <a:defRPr lang="ru-RU"/>
      </a:pPr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marker>
            <c:symbol val="none"/>
          </c:marker>
          <c:dLbls>
            <c:delete val="1"/>
          </c:dLbls>
          <c:val>
            <c:numRef>
              <c:f>ДЮСШ!$E$73:$E$122</c:f>
              <c:numCache>
                <c:formatCode>0.0%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0.00994321635810998</c:v>
                </c:pt>
                <c:pt idx="13">
                  <c:v>0.0120810628540599</c:v>
                </c:pt>
                <c:pt idx="14">
                  <c:v>0.0146818062827225</c:v>
                </c:pt>
                <c:pt idx="15">
                  <c:v>0.0155002592688618</c:v>
                </c:pt>
                <c:pt idx="16">
                  <c:v>0.0177811553985873</c:v>
                </c:pt>
                <c:pt idx="17">
                  <c:v>0.0198437038858829</c:v>
                </c:pt>
                <c:pt idx="18">
                  <c:v>0.0216925756847669</c:v>
                </c:pt>
                <c:pt idx="19">
                  <c:v>0.0227871357498223</c:v>
                </c:pt>
                <c:pt idx="20">
                  <c:v>0.024730831408776</c:v>
                </c:pt>
                <c:pt idx="21">
                  <c:v>0.0280539735099338</c:v>
                </c:pt>
                <c:pt idx="22">
                  <c:v>0.0295470168612192</c:v>
                </c:pt>
                <c:pt idx="23">
                  <c:v>0.0311688489968321</c:v>
                </c:pt>
                <c:pt idx="24">
                  <c:v>0.0332277197295636</c:v>
                </c:pt>
                <c:pt idx="25">
                  <c:v>0.0345551204819277</c:v>
                </c:pt>
                <c:pt idx="26">
                  <c:v>0.0364439352574103</c:v>
                </c:pt>
                <c:pt idx="27">
                  <c:v>0.0378735226839497</c:v>
                </c:pt>
                <c:pt idx="28">
                  <c:v>0.0394546721159205</c:v>
                </c:pt>
                <c:pt idx="29">
                  <c:v>0.0438081967213115</c:v>
                </c:pt>
                <c:pt idx="30">
                  <c:v>0.0551158730158731</c:v>
                </c:pt>
                <c:pt idx="31">
                  <c:v>0.0636000344056426</c:v>
                </c:pt>
                <c:pt idx="32">
                  <c:v>0.0711246215943492</c:v>
                </c:pt>
                <c:pt idx="33">
                  <c:v>0.08260136341503</c:v>
                </c:pt>
                <c:pt idx="34">
                  <c:v>0.0972921052631579</c:v>
                </c:pt>
                <c:pt idx="35">
                  <c:v>0.112300573782551</c:v>
                </c:pt>
                <c:pt idx="36">
                  <c:v>0.125429233361415</c:v>
                </c:pt>
                <c:pt idx="37">
                  <c:v>0.133038498293515</c:v>
                </c:pt>
                <c:pt idx="38">
                  <c:v>0.142359288537549</c:v>
                </c:pt>
                <c:pt idx="39">
                  <c:v>0.155288074083344</c:v>
                </c:pt>
                <c:pt idx="40">
                  <c:v>0.17091225398313</c:v>
                </c:pt>
                <c:pt idx="41">
                  <c:v>0.182044917521177</c:v>
                </c:pt>
                <c:pt idx="42">
                  <c:v>0.193003810733566</c:v>
                </c:pt>
                <c:pt idx="43">
                  <c:v>0.201855000506637</c:v>
                </c:pt>
                <c:pt idx="44">
                  <c:v>0.209331805772231</c:v>
                </c:pt>
                <c:pt idx="45">
                  <c:v>0.225542599696672</c:v>
                </c:pt>
                <c:pt idx="46">
                  <c:v>0.249808525345622</c:v>
                </c:pt>
                <c:pt idx="47">
                  <c:v>0.2726892578125</c:v>
                </c:pt>
                <c:pt idx="48">
                  <c:v>0.293642282171217</c:v>
                </c:pt>
                <c:pt idx="49">
                  <c:v>0.327568968071709</c:v>
                </c:pt>
              </c:numCache>
            </c:numRef>
          </c:val>
          <c:smooth val="0"/>
        </c:ser>
        <c:ser>
          <c:idx val="2"/>
          <c:order val="1"/>
          <c:marker>
            <c:symbol val="none"/>
          </c:marker>
          <c:dLbls>
            <c:delete val="1"/>
          </c:dLbls>
          <c:val>
            <c:numRef>
              <c:f>ДЮСШ!$F$73:$F$122</c:f>
              <c:numCache>
                <c:formatCode>0.0%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0.00252698011991165</c:v>
                </c:pt>
                <c:pt idx="12">
                  <c:v>0.0146471400939486</c:v>
                </c:pt>
                <c:pt idx="13">
                  <c:v>0.0166733207445374</c:v>
                </c:pt>
                <c:pt idx="14">
                  <c:v>0.019138219895288</c:v>
                </c:pt>
                <c:pt idx="15">
                  <c:v>0.0199139227378792</c:v>
                </c:pt>
                <c:pt idx="16">
                  <c:v>0.0220756811301715</c:v>
                </c:pt>
                <c:pt idx="17">
                  <c:v>0.0240304968027545</c:v>
                </c:pt>
                <c:pt idx="18">
                  <c:v>0.0257827967323402</c:v>
                </c:pt>
                <c:pt idx="19">
                  <c:v>0.026820184790334</c:v>
                </c:pt>
                <c:pt idx="20">
                  <c:v>0.0286623556581986</c:v>
                </c:pt>
                <c:pt idx="21">
                  <c:v>0.0318119205298013</c:v>
                </c:pt>
                <c:pt idx="22">
                  <c:v>0.0332269779507134</c:v>
                </c:pt>
                <c:pt idx="23">
                  <c:v>0.0347640971488912</c:v>
                </c:pt>
                <c:pt idx="24">
                  <c:v>0.0367154271665642</c:v>
                </c:pt>
                <c:pt idx="25">
                  <c:v>0.0379734939759036</c:v>
                </c:pt>
                <c:pt idx="26">
                  <c:v>0.0397636505460218</c:v>
                </c:pt>
                <c:pt idx="27">
                  <c:v>0.0467113991612657</c:v>
                </c:pt>
                <c:pt idx="28">
                  <c:v>0.0557027679732491</c:v>
                </c:pt>
                <c:pt idx="29">
                  <c:v>0.0624131147540984</c:v>
                </c:pt>
                <c:pt idx="30">
                  <c:v>0.0731301587301588</c:v>
                </c:pt>
                <c:pt idx="31">
                  <c:v>0.0811711680715638</c:v>
                </c:pt>
                <c:pt idx="32">
                  <c:v>0.0883027245206862</c:v>
                </c:pt>
                <c:pt idx="33">
                  <c:v>0.0991800032462263</c:v>
                </c:pt>
                <c:pt idx="34">
                  <c:v>0.113103405572755</c:v>
                </c:pt>
                <c:pt idx="35">
                  <c:v>0.127327938796528</c:v>
                </c:pt>
                <c:pt idx="36">
                  <c:v>0.139770850884583</c:v>
                </c:pt>
                <c:pt idx="37">
                  <c:v>0.146982662116041</c:v>
                </c:pt>
                <c:pt idx="38">
                  <c:v>0.155816600790514</c:v>
                </c:pt>
                <c:pt idx="39">
                  <c:v>0.168070078838694</c:v>
                </c:pt>
                <c:pt idx="40">
                  <c:v>0.182878163074039</c:v>
                </c:pt>
                <c:pt idx="41">
                  <c:v>0.193429335711101</c:v>
                </c:pt>
                <c:pt idx="42">
                  <c:v>0.2038158145443</c:v>
                </c:pt>
                <c:pt idx="43">
                  <c:v>0.212204681325362</c:v>
                </c:pt>
                <c:pt idx="44">
                  <c:v>0.219290951638066</c:v>
                </c:pt>
                <c:pt idx="45">
                  <c:v>0.234655009367473</c:v>
                </c:pt>
                <c:pt idx="46">
                  <c:v>0.257653456221198</c:v>
                </c:pt>
                <c:pt idx="47">
                  <c:v>0.2793390625</c:v>
                </c:pt>
                <c:pt idx="48">
                  <c:v>0.299197650386163</c:v>
                </c:pt>
                <c:pt idx="49">
                  <c:v>0.33135224831469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ДЮСШ!$D$70</c:f>
              <c:strCache>
                <c:ptCount val="1"/>
                <c:pt idx="0">
                  <c:v>Потенциал экономии</c:v>
                </c:pt>
              </c:strCache>
            </c:strRef>
          </c:tx>
          <c:marker>
            <c:symbol val="none"/>
          </c:marker>
          <c:dLbls>
            <c:delete val="1"/>
          </c:dLbls>
          <c:val>
            <c:numRef>
              <c:f>ДЮСШ!$D$73:$D$122</c:f>
              <c:numCache>
                <c:formatCode>0.0%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0.0135729418886199</c:v>
                </c:pt>
                <c:pt idx="10">
                  <c:v>0.0276983890214799</c:v>
                </c:pt>
                <c:pt idx="11">
                  <c:v>0.061843696027634</c:v>
                </c:pt>
                <c:pt idx="12">
                  <c:v>0.0994321635810998</c:v>
                </c:pt>
                <c:pt idx="13">
                  <c:v>0.120810628540599</c:v>
                </c:pt>
                <c:pt idx="14">
                  <c:v>0.146818062827225</c:v>
                </c:pt>
                <c:pt idx="15">
                  <c:v>0.155002592688618</c:v>
                </c:pt>
                <c:pt idx="16">
                  <c:v>0.177811553985873</c:v>
                </c:pt>
                <c:pt idx="17">
                  <c:v>0.198437038858829</c:v>
                </c:pt>
                <c:pt idx="18">
                  <c:v>0.216925756847669</c:v>
                </c:pt>
                <c:pt idx="19">
                  <c:v>0.227871357498223</c:v>
                </c:pt>
                <c:pt idx="20">
                  <c:v>0.24730831408776</c:v>
                </c:pt>
                <c:pt idx="21">
                  <c:v>0.280539735099338</c:v>
                </c:pt>
                <c:pt idx="22">
                  <c:v>0.295470168612192</c:v>
                </c:pt>
                <c:pt idx="23">
                  <c:v>0.311688489968321</c:v>
                </c:pt>
                <c:pt idx="24">
                  <c:v>0.332277197295636</c:v>
                </c:pt>
                <c:pt idx="25">
                  <c:v>0.345551204819277</c:v>
                </c:pt>
                <c:pt idx="26">
                  <c:v>0.364439352574103</c:v>
                </c:pt>
                <c:pt idx="27">
                  <c:v>0.378735226839497</c:v>
                </c:pt>
                <c:pt idx="28">
                  <c:v>0.394546721159205</c:v>
                </c:pt>
                <c:pt idx="29">
                  <c:v>0.406346994535519</c:v>
                </c:pt>
                <c:pt idx="30">
                  <c:v>0.425193121693122</c:v>
                </c:pt>
                <c:pt idx="31">
                  <c:v>0.439333390676071</c:v>
                </c:pt>
                <c:pt idx="32">
                  <c:v>0.451874369323915</c:v>
                </c:pt>
                <c:pt idx="33">
                  <c:v>0.471002272358383</c:v>
                </c:pt>
                <c:pt idx="34">
                  <c:v>0.495486842105263</c:v>
                </c:pt>
                <c:pt idx="35">
                  <c:v>0.520500956304252</c:v>
                </c:pt>
                <c:pt idx="36">
                  <c:v>0.542382055602359</c:v>
                </c:pt>
                <c:pt idx="37">
                  <c:v>0.555064163822526</c:v>
                </c:pt>
                <c:pt idx="38">
                  <c:v>0.570598814229249</c:v>
                </c:pt>
                <c:pt idx="39">
                  <c:v>0.592146790138906</c:v>
                </c:pt>
                <c:pt idx="40">
                  <c:v>0.618187089971884</c:v>
                </c:pt>
                <c:pt idx="41">
                  <c:v>0.636741529201962</c:v>
                </c:pt>
                <c:pt idx="42">
                  <c:v>0.65500635122261</c:v>
                </c:pt>
                <c:pt idx="43">
                  <c:v>0.669758334177728</c:v>
                </c:pt>
                <c:pt idx="44">
                  <c:v>0.682219676287051</c:v>
                </c:pt>
                <c:pt idx="45">
                  <c:v>0.709237666161121</c:v>
                </c:pt>
                <c:pt idx="46">
                  <c:v>0.749680875576037</c:v>
                </c:pt>
                <c:pt idx="47">
                  <c:v>0.7878154296875</c:v>
                </c:pt>
                <c:pt idx="48">
                  <c:v>0.822737136952029</c:v>
                </c:pt>
                <c:pt idx="49">
                  <c:v>0.879281613452848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0"/>
        <c:axId val="128343040"/>
        <c:axId val="128353024"/>
      </c:lineChart>
      <c:catAx>
        <c:axId val="12834304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ru-RU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128353024"/>
        <c:crosses val="autoZero"/>
        <c:auto val="1"/>
        <c:lblAlgn val="ctr"/>
        <c:lblOffset val="100"/>
        <c:noMultiLvlLbl val="0"/>
      </c:catAx>
      <c:valAx>
        <c:axId val="128353024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ru-RU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128343040"/>
        <c:crosses val="autoZero"/>
        <c:crossBetween val="between"/>
      </c:valAx>
    </c:plotArea>
    <c:legend>
      <c:legendPos val="r"/>
      <c:layout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0f1c6600-5082-47a5-9404-a0230f8f9b47}"/>
      </c:ext>
    </c:extLst>
  </c:chart>
  <c:txPr>
    <a:bodyPr/>
    <a:lstStyle/>
    <a:p>
      <a:pPr>
        <a:defRPr lang="ru-RU"/>
      </a:pPr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ДЮСШ!$D$267</c:f>
              <c:strCache>
                <c:ptCount val="1"/>
                <c:pt idx="0">
                  <c:v>Потенциал экономии</c:v>
                </c:pt>
              </c:strCache>
            </c:strRef>
          </c:tx>
          <c:marker>
            <c:symbol val="none"/>
          </c:marker>
          <c:dLbls>
            <c:delete val="1"/>
          </c:dLbls>
          <c:val>
            <c:numRef>
              <c:f>ДЮСШ!$D$270:$D$319</c:f>
              <c:numCache>
                <c:formatCode>0.0%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  <c:smooth val="0"/>
        </c:ser>
        <c:ser>
          <c:idx val="1"/>
          <c:order val="1"/>
          <c:marker>
            <c:symbol val="none"/>
          </c:marker>
          <c:dLbls>
            <c:delete val="1"/>
          </c:dLbls>
          <c:val>
            <c:numRef>
              <c:f>ДЮСШ!$E$270:$E$319</c:f>
              <c:numCache>
                <c:formatCode>0.0%</c:formatCode>
                <c:ptCount val="50"/>
              </c:numCache>
            </c:numRef>
          </c:val>
          <c:smooth val="0"/>
        </c:ser>
        <c:ser>
          <c:idx val="2"/>
          <c:order val="2"/>
          <c:marker>
            <c:symbol val="none"/>
          </c:marker>
          <c:dLbls>
            <c:delete val="1"/>
          </c:dLbls>
          <c:val>
            <c:numRef>
              <c:f>ДЮСШ!$F$270:$F$319</c:f>
              <c:numCache>
                <c:formatCode>0.0%</c:formatCode>
                <c:ptCount val="5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0"/>
        <c:axId val="128261120"/>
        <c:axId val="128262912"/>
      </c:lineChart>
      <c:catAx>
        <c:axId val="12826112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ru-RU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128262912"/>
        <c:crosses val="autoZero"/>
        <c:auto val="1"/>
        <c:lblAlgn val="ctr"/>
        <c:lblOffset val="100"/>
        <c:noMultiLvlLbl val="0"/>
      </c:catAx>
      <c:valAx>
        <c:axId val="128262912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ru-RU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128261120"/>
        <c:crosses val="autoZero"/>
        <c:crossBetween val="between"/>
      </c:valAx>
    </c:plotArea>
    <c:legend>
      <c:legendPos val="r"/>
      <c:layout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054ee342-18d5-4d2a-91e9-5822591e7e54}"/>
      </c:ext>
    </c:extLst>
  </c:chart>
  <c:txPr>
    <a:bodyPr/>
    <a:lstStyle/>
    <a:p>
      <a:pPr>
        <a:defRPr lang="ru-RU"/>
      </a:pPr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ДЮСШ!$D$334</c:f>
              <c:strCache>
                <c:ptCount val="1"/>
                <c:pt idx="0">
                  <c:v>Потенциал экономии</c:v>
                </c:pt>
              </c:strCache>
            </c:strRef>
          </c:tx>
          <c:marker>
            <c:symbol val="none"/>
          </c:marker>
          <c:dLbls>
            <c:delete val="1"/>
          </c:dLbls>
          <c:val>
            <c:numRef>
              <c:f>ДЮСШ!$D$337:$D$386</c:f>
              <c:numCache>
                <c:formatCode>0.0%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  <c:smooth val="0"/>
        </c:ser>
        <c:ser>
          <c:idx val="1"/>
          <c:order val="1"/>
          <c:marker>
            <c:symbol val="none"/>
          </c:marker>
          <c:dLbls>
            <c:delete val="1"/>
          </c:dLbls>
          <c:val>
            <c:numRef>
              <c:f>ДЮСШ!$E$337:$E$386</c:f>
              <c:numCache>
                <c:formatCode>0.0%</c:formatCode>
                <c:ptCount val="50"/>
              </c:numCache>
            </c:numRef>
          </c:val>
          <c:smooth val="0"/>
        </c:ser>
        <c:ser>
          <c:idx val="2"/>
          <c:order val="2"/>
          <c:marker>
            <c:symbol val="none"/>
          </c:marker>
          <c:dLbls>
            <c:delete val="1"/>
          </c:dLbls>
          <c:val>
            <c:numRef>
              <c:f>ДЮСШ!$F$337:$F$386</c:f>
              <c:numCache>
                <c:formatCode>0.0%</c:formatCode>
                <c:ptCount val="5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0"/>
        <c:axId val="128296064"/>
        <c:axId val="128297600"/>
      </c:lineChart>
      <c:catAx>
        <c:axId val="12829606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ru-RU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128297600"/>
        <c:crosses val="autoZero"/>
        <c:auto val="1"/>
        <c:lblAlgn val="ctr"/>
        <c:lblOffset val="100"/>
        <c:noMultiLvlLbl val="0"/>
      </c:catAx>
      <c:valAx>
        <c:axId val="128297600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ru-RU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128296064"/>
        <c:crosses val="autoZero"/>
        <c:crossBetween val="between"/>
      </c:valAx>
    </c:plotArea>
    <c:legend>
      <c:legendPos val="r"/>
      <c:layout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de227ed4-591e-4698-aea3-78ad47273291}"/>
      </c:ext>
    </c:extLst>
  </c:chart>
  <c:txPr>
    <a:bodyPr/>
    <a:lstStyle/>
    <a:p>
      <a:pPr>
        <a:defRPr lang="ru-RU"/>
      </a:pPr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Больница!$D$267</c:f>
              <c:strCache>
                <c:ptCount val="1"/>
                <c:pt idx="0">
                  <c:v>Потенциал экономии</c:v>
                </c:pt>
              </c:strCache>
            </c:strRef>
          </c:tx>
          <c:marker>
            <c:symbol val="none"/>
          </c:marker>
          <c:dLbls>
            <c:delete val="1"/>
          </c:dLbls>
          <c:val>
            <c:numRef>
              <c:f>Больница!$D$270:$D$319</c:f>
              <c:numCache>
                <c:formatCode>0.0%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0.0631818181818182</c:v>
                </c:pt>
                <c:pt idx="24">
                  <c:v>0.103913043478261</c:v>
                </c:pt>
                <c:pt idx="25">
                  <c:v>0.14125</c:v>
                </c:pt>
                <c:pt idx="26">
                  <c:v>0.207307692307692</c:v>
                </c:pt>
                <c:pt idx="27">
                  <c:v>0.263928571428571</c:v>
                </c:pt>
                <c:pt idx="28">
                  <c:v>0.313</c:v>
                </c:pt>
                <c:pt idx="29">
                  <c:v>0.3559375</c:v>
                </c:pt>
                <c:pt idx="30">
                  <c:v>0.393823529411765</c:v>
                </c:pt>
                <c:pt idx="31">
                  <c:v>0.4275</c:v>
                </c:pt>
                <c:pt idx="32">
                  <c:v>0.457631578947368</c:v>
                </c:pt>
                <c:pt idx="33">
                  <c:v>0.509285714285714</c:v>
                </c:pt>
                <c:pt idx="34">
                  <c:v>0.542</c:v>
                </c:pt>
                <c:pt idx="35">
                  <c:v>0.570625</c:v>
                </c:pt>
                <c:pt idx="36">
                  <c:v>0.595882352941176</c:v>
                </c:pt>
                <c:pt idx="37">
                  <c:v>0.631964285714286</c:v>
                </c:pt>
                <c:pt idx="38">
                  <c:v>0.662131147540984</c:v>
                </c:pt>
                <c:pt idx="39">
                  <c:v>0.701304347826087</c:v>
                </c:pt>
                <c:pt idx="40">
                  <c:v>0.739113924050633</c:v>
                </c:pt>
                <c:pt idx="41">
                  <c:v>0.775978260869565</c:v>
                </c:pt>
                <c:pt idx="42">
                  <c:v>0.799902912621359</c:v>
                </c:pt>
                <c:pt idx="43">
                  <c:v>0.825338983050848</c:v>
                </c:pt>
                <c:pt idx="44">
                  <c:v>0.8711875</c:v>
                </c:pt>
                <c:pt idx="45">
                  <c:v>0.911163793103448</c:v>
                </c:pt>
                <c:pt idx="46">
                  <c:v>0.928685121107266</c:v>
                </c:pt>
                <c:pt idx="47">
                  <c:v>0.946187989556136</c:v>
                </c:pt>
                <c:pt idx="48">
                  <c:v>0.97149377593361</c:v>
                </c:pt>
                <c:pt idx="49">
                  <c:v>0.990480369515012</c:v>
                </c:pt>
              </c:numCache>
            </c:numRef>
          </c:val>
          <c:smooth val="0"/>
        </c:ser>
        <c:ser>
          <c:idx val="1"/>
          <c:order val="1"/>
          <c:marker>
            <c:symbol val="none"/>
          </c:marker>
          <c:dLbls>
            <c:delete val="1"/>
          </c:dLbls>
          <c:val>
            <c:numRef>
              <c:f>Больница!$E$270:$E$319</c:f>
              <c:numCache>
                <c:formatCode>0.0%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4">
                  <c:v>0.0103913043478261</c:v>
                </c:pt>
                <c:pt idx="25">
                  <c:v>0.014125</c:v>
                </c:pt>
                <c:pt idx="26">
                  <c:v>0.0207307692307692</c:v>
                </c:pt>
                <c:pt idx="27">
                  <c:v>0.0263928571428571</c:v>
                </c:pt>
                <c:pt idx="28">
                  <c:v>0.0313</c:v>
                </c:pt>
                <c:pt idx="29">
                  <c:v>0.03559375</c:v>
                </c:pt>
                <c:pt idx="30">
                  <c:v>0.0393823529411765</c:v>
                </c:pt>
                <c:pt idx="31">
                  <c:v>0.0565</c:v>
                </c:pt>
                <c:pt idx="32">
                  <c:v>0.074578947368421</c:v>
                </c:pt>
                <c:pt idx="33">
                  <c:v>0.105571428571429</c:v>
                </c:pt>
                <c:pt idx="34">
                  <c:v>0.1252</c:v>
                </c:pt>
                <c:pt idx="35">
                  <c:v>0.142375</c:v>
                </c:pt>
                <c:pt idx="36">
                  <c:v>0.157529411764706</c:v>
                </c:pt>
                <c:pt idx="37">
                  <c:v>0.179178571428571</c:v>
                </c:pt>
                <c:pt idx="38">
                  <c:v>0.19727868852459</c:v>
                </c:pt>
                <c:pt idx="39">
                  <c:v>0.220782608695652</c:v>
                </c:pt>
                <c:pt idx="40">
                  <c:v>0.24346835443038</c:v>
                </c:pt>
                <c:pt idx="41">
                  <c:v>0.265586956521739</c:v>
                </c:pt>
                <c:pt idx="42">
                  <c:v>0.279941747572816</c:v>
                </c:pt>
                <c:pt idx="43">
                  <c:v>0.295203389830508</c:v>
                </c:pt>
                <c:pt idx="44">
                  <c:v>0.3227125</c:v>
                </c:pt>
                <c:pt idx="45">
                  <c:v>0.346698275862069</c:v>
                </c:pt>
                <c:pt idx="46">
                  <c:v>0.35721107266436</c:v>
                </c:pt>
                <c:pt idx="47">
                  <c:v>0.367712793733681</c:v>
                </c:pt>
                <c:pt idx="48">
                  <c:v>0.382896265560166</c:v>
                </c:pt>
                <c:pt idx="49">
                  <c:v>0.394288221709007</c:v>
                </c:pt>
              </c:numCache>
            </c:numRef>
          </c:val>
          <c:smooth val="0"/>
        </c:ser>
        <c:ser>
          <c:idx val="2"/>
          <c:order val="2"/>
          <c:marker>
            <c:symbol val="none"/>
          </c:marker>
          <c:dLbls>
            <c:delete val="1"/>
          </c:dLbls>
          <c:val>
            <c:numRef>
              <c:f>Больница!$F$270:$F$319</c:f>
              <c:numCache>
                <c:formatCode>0.0%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0.00505882352941176</c:v>
                </c:pt>
                <c:pt idx="21">
                  <c:v>0.0103333333333333</c:v>
                </c:pt>
                <c:pt idx="22">
                  <c:v>0.0150526315789474</c:v>
                </c:pt>
                <c:pt idx="23">
                  <c:v>0.0266363636363636</c:v>
                </c:pt>
                <c:pt idx="24">
                  <c:v>0.0298260869565217</c:v>
                </c:pt>
                <c:pt idx="25">
                  <c:v>0.03275</c:v>
                </c:pt>
                <c:pt idx="26">
                  <c:v>0.0379230769230769</c:v>
                </c:pt>
                <c:pt idx="27">
                  <c:v>0.0541428571428572</c:v>
                </c:pt>
                <c:pt idx="28">
                  <c:v>0.0772</c:v>
                </c:pt>
                <c:pt idx="29">
                  <c:v>0.097375</c:v>
                </c:pt>
                <c:pt idx="30">
                  <c:v>0.115176470588235</c:v>
                </c:pt>
                <c:pt idx="31">
                  <c:v>0.131</c:v>
                </c:pt>
                <c:pt idx="32">
                  <c:v>0.145157894736842</c:v>
                </c:pt>
                <c:pt idx="33">
                  <c:v>0.169428571428571</c:v>
                </c:pt>
                <c:pt idx="34">
                  <c:v>0.1848</c:v>
                </c:pt>
                <c:pt idx="35">
                  <c:v>0.19825</c:v>
                </c:pt>
                <c:pt idx="36">
                  <c:v>0.210117647058824</c:v>
                </c:pt>
                <c:pt idx="37">
                  <c:v>0.227071428571429</c:v>
                </c:pt>
                <c:pt idx="38">
                  <c:v>0.241245901639344</c:v>
                </c:pt>
                <c:pt idx="39">
                  <c:v>0.259652173913043</c:v>
                </c:pt>
                <c:pt idx="40">
                  <c:v>0.277417721518987</c:v>
                </c:pt>
                <c:pt idx="41">
                  <c:v>0.294739130434783</c:v>
                </c:pt>
                <c:pt idx="42">
                  <c:v>0.305980582524272</c:v>
                </c:pt>
                <c:pt idx="43">
                  <c:v>0.317932203389831</c:v>
                </c:pt>
                <c:pt idx="44">
                  <c:v>0.339475</c:v>
                </c:pt>
                <c:pt idx="45">
                  <c:v>0.358258620689655</c:v>
                </c:pt>
                <c:pt idx="46">
                  <c:v>0.366491349480969</c:v>
                </c:pt>
                <c:pt idx="47">
                  <c:v>0.374715404699739</c:v>
                </c:pt>
                <c:pt idx="48">
                  <c:v>0.386605809128631</c:v>
                </c:pt>
                <c:pt idx="49">
                  <c:v>0.395527020785219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0"/>
        <c:axId val="125965824"/>
        <c:axId val="125967360"/>
      </c:lineChart>
      <c:catAx>
        <c:axId val="12596582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ru-RU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125967360"/>
        <c:crosses val="autoZero"/>
        <c:auto val="1"/>
        <c:lblAlgn val="ctr"/>
        <c:lblOffset val="100"/>
        <c:noMultiLvlLbl val="0"/>
      </c:catAx>
      <c:valAx>
        <c:axId val="125967360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ru-RU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125965824"/>
        <c:crosses val="autoZero"/>
        <c:crossBetween val="between"/>
      </c:valAx>
    </c:plotArea>
    <c:legend>
      <c:legendPos val="r"/>
      <c:layout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bc9c860f-ce25-4d5f-93ba-742f407e3c7c}"/>
      </c:ext>
    </c:extLst>
  </c:chart>
  <c:txPr>
    <a:bodyPr/>
    <a:lstStyle/>
    <a:p>
      <a:pPr>
        <a:defRPr lang="ru-RU"/>
      </a:pPr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Больница!$D$334</c:f>
              <c:strCache>
                <c:ptCount val="1"/>
                <c:pt idx="0">
                  <c:v>Потенциал экономии</c:v>
                </c:pt>
              </c:strCache>
            </c:strRef>
          </c:tx>
          <c:marker>
            <c:symbol val="none"/>
          </c:marker>
          <c:dLbls>
            <c:delete val="1"/>
          </c:dLbls>
          <c:val>
            <c:numRef>
              <c:f>Больница!$D$337:$D$386</c:f>
              <c:numCache>
                <c:formatCode>0.0%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  <c:smooth val="0"/>
        </c:ser>
        <c:ser>
          <c:idx val="1"/>
          <c:order val="1"/>
          <c:marker>
            <c:symbol val="none"/>
          </c:marker>
          <c:dLbls>
            <c:delete val="1"/>
          </c:dLbls>
          <c:val>
            <c:numRef>
              <c:f>Больница!$E$337:$E$386</c:f>
              <c:numCache>
                <c:formatCode>0.0%</c:formatCode>
                <c:ptCount val="50"/>
              </c:numCache>
            </c:numRef>
          </c:val>
          <c:smooth val="0"/>
        </c:ser>
        <c:ser>
          <c:idx val="2"/>
          <c:order val="2"/>
          <c:marker>
            <c:symbol val="none"/>
          </c:marker>
          <c:dLbls>
            <c:delete val="1"/>
          </c:dLbls>
          <c:val>
            <c:numRef>
              <c:f>Больница!$F$337:$F$386</c:f>
              <c:numCache>
                <c:formatCode>0.0%</c:formatCode>
                <c:ptCount val="5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0"/>
        <c:axId val="125994496"/>
        <c:axId val="125996032"/>
      </c:lineChart>
      <c:catAx>
        <c:axId val="12599449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ru-RU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125996032"/>
        <c:crosses val="autoZero"/>
        <c:auto val="1"/>
        <c:lblAlgn val="ctr"/>
        <c:lblOffset val="100"/>
        <c:noMultiLvlLbl val="0"/>
      </c:catAx>
      <c:valAx>
        <c:axId val="125996032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ru-RU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125994496"/>
        <c:crosses val="autoZero"/>
        <c:crossBetween val="between"/>
      </c:valAx>
    </c:plotArea>
    <c:legend>
      <c:legendPos val="r"/>
      <c:layout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9f80efc7-ff8e-49bb-b01f-7b05132fdb68}"/>
      </c:ext>
    </c:extLst>
  </c:chart>
  <c:txPr>
    <a:bodyPr/>
    <a:lstStyle/>
    <a:p>
      <a:pPr>
        <a:defRPr lang="ru-RU"/>
      </a:pPr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marker>
            <c:symbol val="none"/>
          </c:marker>
          <c:dLbls>
            <c:delete val="1"/>
          </c:dLbls>
          <c:val>
            <c:numRef>
              <c:f>Мед.стационар!$E$73:$E$122</c:f>
              <c:numCache>
                <c:formatCode>0.0%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1">
                  <c:v>0.0111158536585366</c:v>
                </c:pt>
                <c:pt idx="12">
                  <c:v>0.0129731343283582</c:v>
                </c:pt>
                <c:pt idx="13">
                  <c:v>0.015002915451895</c:v>
                </c:pt>
                <c:pt idx="14">
                  <c:v>0.0162241379310345</c:v>
                </c:pt>
                <c:pt idx="15">
                  <c:v>0.0176440677966102</c:v>
                </c:pt>
                <c:pt idx="16">
                  <c:v>0.0196859504132231</c:v>
                </c:pt>
                <c:pt idx="17">
                  <c:v>0.0226684350132626</c:v>
                </c:pt>
                <c:pt idx="18">
                  <c:v>0.0242753246753247</c:v>
                </c:pt>
                <c:pt idx="19">
                  <c:v>0.0258167938931298</c:v>
                </c:pt>
                <c:pt idx="20">
                  <c:v>0.0280148148148148</c:v>
                </c:pt>
                <c:pt idx="21">
                  <c:v>0.0297493975903615</c:v>
                </c:pt>
                <c:pt idx="22">
                  <c:v>0.0320419580419581</c:v>
                </c:pt>
                <c:pt idx="23">
                  <c:v>0.0337409090909091</c:v>
                </c:pt>
                <c:pt idx="24">
                  <c:v>0.0355</c:v>
                </c:pt>
                <c:pt idx="25">
                  <c:v>0.0370323974082074</c:v>
                </c:pt>
                <c:pt idx="26">
                  <c:v>0.0387521008403361</c:v>
                </c:pt>
                <c:pt idx="27">
                  <c:v>0.0395145228215768</c:v>
                </c:pt>
                <c:pt idx="28">
                  <c:v>0.0430122448979592</c:v>
                </c:pt>
                <c:pt idx="29">
                  <c:v>0.0480402414486922</c:v>
                </c:pt>
                <c:pt idx="30">
                  <c:v>0.0570117647058824</c:v>
                </c:pt>
                <c:pt idx="31">
                  <c:v>0.0674448669201521</c:v>
                </c:pt>
                <c:pt idx="32">
                  <c:v>0.0742569832402235</c:v>
                </c:pt>
                <c:pt idx="33">
                  <c:v>0.0796263736263737</c:v>
                </c:pt>
                <c:pt idx="34">
                  <c:v>0.0963125000000001</c:v>
                </c:pt>
                <c:pt idx="35">
                  <c:v>0.10846</c:v>
                </c:pt>
                <c:pt idx="36">
                  <c:v>0.115570731707317</c:v>
                </c:pt>
                <c:pt idx="37">
                  <c:v>0.122342857142857</c:v>
                </c:pt>
                <c:pt idx="38">
                  <c:v>0.130055555555556</c:v>
                </c:pt>
                <c:pt idx="39">
                  <c:v>0.147219653179191</c:v>
                </c:pt>
                <c:pt idx="40">
                  <c:v>0.158725517241379</c:v>
                </c:pt>
                <c:pt idx="41">
                  <c:v>0.169836842105263</c:v>
                </c:pt>
                <c:pt idx="42">
                  <c:v>0.181345</c:v>
                </c:pt>
                <c:pt idx="43">
                  <c:v>0.195170960187354</c:v>
                </c:pt>
                <c:pt idx="44">
                  <c:v>0.220774590163934</c:v>
                </c:pt>
                <c:pt idx="45">
                  <c:v>0.243117488789238</c:v>
                </c:pt>
                <c:pt idx="46">
                  <c:v>0.261588858996677</c:v>
                </c:pt>
                <c:pt idx="47">
                  <c:v>0.289707440100883</c:v>
                </c:pt>
                <c:pt idx="48">
                  <c:v>0.313102831594635</c:v>
                </c:pt>
                <c:pt idx="49">
                  <c:v>0.3533536</c:v>
                </c:pt>
              </c:numCache>
            </c:numRef>
          </c:val>
          <c:smooth val="0"/>
        </c:ser>
        <c:ser>
          <c:idx val="2"/>
          <c:order val="1"/>
          <c:marker>
            <c:symbol val="none"/>
          </c:marker>
          <c:dLbls>
            <c:delete val="1"/>
          </c:dLbls>
          <c:val>
            <c:numRef>
              <c:f>Мед.стационар!$F$73:$F$122</c:f>
              <c:numCache>
                <c:formatCode>0.0%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0.00262020905923343</c:v>
                </c:pt>
                <c:pt idx="9">
                  <c:v>0.00896416938110748</c:v>
                </c:pt>
                <c:pt idx="10">
                  <c:v>0.0123887147335423</c:v>
                </c:pt>
                <c:pt idx="11">
                  <c:v>0.0147926829268293</c:v>
                </c:pt>
                <c:pt idx="12">
                  <c:v>0.0165731343283582</c:v>
                </c:pt>
                <c:pt idx="13">
                  <c:v>0.0185189504373178</c:v>
                </c:pt>
                <c:pt idx="14">
                  <c:v>0.0196896551724138</c:v>
                </c:pt>
                <c:pt idx="15">
                  <c:v>0.0210508474576271</c:v>
                </c:pt>
                <c:pt idx="16">
                  <c:v>0.0230082644628099</c:v>
                </c:pt>
                <c:pt idx="17">
                  <c:v>0.025867374005305</c:v>
                </c:pt>
                <c:pt idx="18">
                  <c:v>0.0274077922077922</c:v>
                </c:pt>
                <c:pt idx="19">
                  <c:v>0.0288854961832061</c:v>
                </c:pt>
                <c:pt idx="20">
                  <c:v>0.0309925925925926</c:v>
                </c:pt>
                <c:pt idx="21">
                  <c:v>0.032655421686747</c:v>
                </c:pt>
                <c:pt idx="22">
                  <c:v>0.0348531468531468</c:v>
                </c:pt>
                <c:pt idx="23">
                  <c:v>0.0364818181818182</c:v>
                </c:pt>
                <c:pt idx="24">
                  <c:v>0.0381681415929204</c:v>
                </c:pt>
                <c:pt idx="25">
                  <c:v>0.0396371490280777</c:v>
                </c:pt>
                <c:pt idx="26">
                  <c:v>0.0477142857142857</c:v>
                </c:pt>
                <c:pt idx="27">
                  <c:v>0.0520995850622406</c:v>
                </c:pt>
                <c:pt idx="28">
                  <c:v>0.0577795918367347</c:v>
                </c:pt>
                <c:pt idx="29">
                  <c:v>0.0625995975855131</c:v>
                </c:pt>
                <c:pt idx="30">
                  <c:v>0.0712</c:v>
                </c:pt>
                <c:pt idx="31">
                  <c:v>0.0812015209125475</c:v>
                </c:pt>
                <c:pt idx="32">
                  <c:v>0.087731843575419</c:v>
                </c:pt>
                <c:pt idx="33">
                  <c:v>0.0928791208791208</c:v>
                </c:pt>
                <c:pt idx="34">
                  <c:v>0.108875</c:v>
                </c:pt>
                <c:pt idx="35">
                  <c:v>0.12052</c:v>
                </c:pt>
                <c:pt idx="36">
                  <c:v>0.127336585365854</c:v>
                </c:pt>
                <c:pt idx="37">
                  <c:v>0.133828571428571</c:v>
                </c:pt>
                <c:pt idx="38">
                  <c:v>0.141222222222222</c:v>
                </c:pt>
                <c:pt idx="39">
                  <c:v>0.157676300578035</c:v>
                </c:pt>
                <c:pt idx="40">
                  <c:v>0.168706206896552</c:v>
                </c:pt>
                <c:pt idx="41">
                  <c:v>0.179357894736842</c:v>
                </c:pt>
                <c:pt idx="42">
                  <c:v>0.19039</c:v>
                </c:pt>
                <c:pt idx="43">
                  <c:v>0.203644028103044</c:v>
                </c:pt>
                <c:pt idx="44">
                  <c:v>0.228188524590164</c:v>
                </c:pt>
                <c:pt idx="45">
                  <c:v>0.249607174887892</c:v>
                </c:pt>
                <c:pt idx="46">
                  <c:v>0.267314448488685</c:v>
                </c:pt>
                <c:pt idx="47">
                  <c:v>0.294269861286255</c:v>
                </c:pt>
                <c:pt idx="48">
                  <c:v>0.316697466467958</c:v>
                </c:pt>
                <c:pt idx="49">
                  <c:v>0.3552832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Мед.стационар!$D$70</c:f>
              <c:strCache>
                <c:ptCount val="1"/>
                <c:pt idx="0">
                  <c:v>Потенциал экономии</c:v>
                </c:pt>
              </c:strCache>
            </c:strRef>
          </c:tx>
          <c:marker>
            <c:symbol val="none"/>
          </c:marker>
          <c:dLbls>
            <c:delete val="1"/>
          </c:dLbls>
          <c:val>
            <c:numRef>
              <c:f>Мед.стационар!$D$73:$D$122</c:f>
              <c:numCache>
                <c:formatCode>0.0%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0.0503583061889252</c:v>
                </c:pt>
                <c:pt idx="10">
                  <c:v>0.0860815047021944</c:v>
                </c:pt>
                <c:pt idx="11">
                  <c:v>0.111158536585366</c:v>
                </c:pt>
                <c:pt idx="12">
                  <c:v>0.129731343283582</c:v>
                </c:pt>
                <c:pt idx="13">
                  <c:v>0.15002915451895</c:v>
                </c:pt>
                <c:pt idx="14">
                  <c:v>0.162241379310345</c:v>
                </c:pt>
                <c:pt idx="15">
                  <c:v>0.176440677966102</c:v>
                </c:pt>
                <c:pt idx="16">
                  <c:v>0.196859504132231</c:v>
                </c:pt>
                <c:pt idx="17">
                  <c:v>0.226684350132626</c:v>
                </c:pt>
                <c:pt idx="18">
                  <c:v>0.242753246753247</c:v>
                </c:pt>
                <c:pt idx="19">
                  <c:v>0.258167938931298</c:v>
                </c:pt>
                <c:pt idx="20">
                  <c:v>0.280148148148148</c:v>
                </c:pt>
                <c:pt idx="21">
                  <c:v>0.297493975903615</c:v>
                </c:pt>
                <c:pt idx="22">
                  <c:v>0.32041958041958</c:v>
                </c:pt>
                <c:pt idx="23">
                  <c:v>0.337409090909091</c:v>
                </c:pt>
                <c:pt idx="24">
                  <c:v>0.355</c:v>
                </c:pt>
                <c:pt idx="25">
                  <c:v>0.370323974082073</c:v>
                </c:pt>
                <c:pt idx="26">
                  <c:v>0.387521008403361</c:v>
                </c:pt>
                <c:pt idx="27">
                  <c:v>0.395145228215768</c:v>
                </c:pt>
                <c:pt idx="28">
                  <c:v>0.405020408163265</c:v>
                </c:pt>
                <c:pt idx="29">
                  <c:v>0.413400402414487</c:v>
                </c:pt>
                <c:pt idx="30">
                  <c:v>0.428352941176471</c:v>
                </c:pt>
                <c:pt idx="31">
                  <c:v>0.44574144486692</c:v>
                </c:pt>
                <c:pt idx="32">
                  <c:v>0.457094972067039</c:v>
                </c:pt>
                <c:pt idx="33">
                  <c:v>0.466043956043956</c:v>
                </c:pt>
                <c:pt idx="34">
                  <c:v>0.493854166666667</c:v>
                </c:pt>
                <c:pt idx="35">
                  <c:v>0.5141</c:v>
                </c:pt>
                <c:pt idx="36">
                  <c:v>0.525951219512195</c:v>
                </c:pt>
                <c:pt idx="37">
                  <c:v>0.537238095238095</c:v>
                </c:pt>
                <c:pt idx="38">
                  <c:v>0.550092592592593</c:v>
                </c:pt>
                <c:pt idx="39">
                  <c:v>0.578699421965318</c:v>
                </c:pt>
                <c:pt idx="40">
                  <c:v>0.597875862068966</c:v>
                </c:pt>
                <c:pt idx="41">
                  <c:v>0.616394736842105</c:v>
                </c:pt>
                <c:pt idx="42">
                  <c:v>0.635575</c:v>
                </c:pt>
                <c:pt idx="43">
                  <c:v>0.658618266978923</c:v>
                </c:pt>
                <c:pt idx="44">
                  <c:v>0.701290983606557</c:v>
                </c:pt>
                <c:pt idx="45">
                  <c:v>0.738529147982063</c:v>
                </c:pt>
                <c:pt idx="46">
                  <c:v>0.769314764994461</c:v>
                </c:pt>
                <c:pt idx="47">
                  <c:v>0.816179066834805</c:v>
                </c:pt>
                <c:pt idx="48">
                  <c:v>0.855171385991058</c:v>
                </c:pt>
                <c:pt idx="49">
                  <c:v>0.922256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0"/>
        <c:axId val="130636032"/>
        <c:axId val="130650112"/>
      </c:lineChart>
      <c:catAx>
        <c:axId val="13063603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ru-RU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130650112"/>
        <c:crosses val="autoZero"/>
        <c:auto val="1"/>
        <c:lblAlgn val="ctr"/>
        <c:lblOffset val="100"/>
        <c:noMultiLvlLbl val="0"/>
      </c:catAx>
      <c:valAx>
        <c:axId val="130650112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ru-RU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130636032"/>
        <c:crosses val="autoZero"/>
        <c:crossBetween val="between"/>
      </c:valAx>
    </c:plotArea>
    <c:legend>
      <c:legendPos val="r"/>
      <c:layout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9121f592-cc05-4274-b960-7f764d178717}"/>
      </c:ext>
    </c:extLst>
  </c:chart>
  <c:txPr>
    <a:bodyPr/>
    <a:lstStyle/>
    <a:p>
      <a:pPr>
        <a:defRPr lang="ru-RU"/>
      </a:pPr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232228</xdr:colOff>
      <xdr:row>178</xdr:row>
      <xdr:rowOff>57150</xdr:rowOff>
    </xdr:from>
    <xdr:to>
      <xdr:col>14</xdr:col>
      <xdr:colOff>232228</xdr:colOff>
      <xdr:row>191</xdr:row>
      <xdr:rowOff>231321</xdr:rowOff>
    </xdr:to>
    <xdr:graphicFrame>
      <xdr:nvGraphicFramePr>
        <xdr:cNvPr id="4" name="Chart 4"/>
        <xdr:cNvGraphicFramePr/>
      </xdr:nvGraphicFramePr>
      <xdr:xfrm>
        <a:off x="7637780" y="36791265"/>
        <a:ext cx="4071620" cy="295084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206828</xdr:colOff>
      <xdr:row>247</xdr:row>
      <xdr:rowOff>141514</xdr:rowOff>
    </xdr:from>
    <xdr:to>
      <xdr:col>14</xdr:col>
      <xdr:colOff>206828</xdr:colOff>
      <xdr:row>257</xdr:row>
      <xdr:rowOff>174171</xdr:rowOff>
    </xdr:to>
    <xdr:graphicFrame>
      <xdr:nvGraphicFramePr>
        <xdr:cNvPr id="4" name="Chart 4"/>
        <xdr:cNvGraphicFramePr/>
      </xdr:nvGraphicFramePr>
      <xdr:xfrm>
        <a:off x="4406265" y="56605170"/>
        <a:ext cx="4071620" cy="27762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163285</xdr:colOff>
      <xdr:row>308</xdr:row>
      <xdr:rowOff>32658</xdr:rowOff>
    </xdr:from>
    <xdr:to>
      <xdr:col>14</xdr:col>
      <xdr:colOff>163285</xdr:colOff>
      <xdr:row>321</xdr:row>
      <xdr:rowOff>299358</xdr:rowOff>
    </xdr:to>
    <xdr:graphicFrame>
      <xdr:nvGraphicFramePr>
        <xdr:cNvPr id="5" name="Chart 5"/>
        <xdr:cNvGraphicFramePr/>
      </xdr:nvGraphicFramePr>
      <xdr:xfrm>
        <a:off x="4363085" y="70679310"/>
        <a:ext cx="4071620" cy="27432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8</xdr:col>
      <xdr:colOff>582386</xdr:colOff>
      <xdr:row>106</xdr:row>
      <xdr:rowOff>185056</xdr:rowOff>
    </xdr:from>
    <xdr:to>
      <xdr:col>15</xdr:col>
      <xdr:colOff>582386</xdr:colOff>
      <xdr:row>121</xdr:row>
      <xdr:rowOff>70756</xdr:rowOff>
    </xdr:to>
    <xdr:graphicFrame>
      <xdr:nvGraphicFramePr>
        <xdr:cNvPr id="3" name="Chart 3"/>
        <xdr:cNvGraphicFramePr/>
      </xdr:nvGraphicFramePr>
      <xdr:xfrm>
        <a:off x="5332730" y="24254460"/>
        <a:ext cx="4071620" cy="27432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163285</xdr:colOff>
      <xdr:row>308</xdr:row>
      <xdr:rowOff>32658</xdr:rowOff>
    </xdr:from>
    <xdr:to>
      <xdr:col>14</xdr:col>
      <xdr:colOff>163285</xdr:colOff>
      <xdr:row>321</xdr:row>
      <xdr:rowOff>299358</xdr:rowOff>
    </xdr:to>
    <xdr:graphicFrame>
      <xdr:nvGraphicFramePr>
        <xdr:cNvPr id="5" name="Chart 5"/>
        <xdr:cNvGraphicFramePr/>
      </xdr:nvGraphicFramePr>
      <xdr:xfrm>
        <a:off x="4332605" y="71717535"/>
        <a:ext cx="4071620" cy="286702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337457</xdr:colOff>
      <xdr:row>368</xdr:row>
      <xdr:rowOff>146957</xdr:rowOff>
    </xdr:from>
    <xdr:to>
      <xdr:col>14</xdr:col>
      <xdr:colOff>337457</xdr:colOff>
      <xdr:row>383</xdr:row>
      <xdr:rowOff>32657</xdr:rowOff>
    </xdr:to>
    <xdr:graphicFrame>
      <xdr:nvGraphicFramePr>
        <xdr:cNvPr id="6" name="Chart 6"/>
        <xdr:cNvGraphicFramePr/>
      </xdr:nvGraphicFramePr>
      <xdr:xfrm>
        <a:off x="4506595" y="86309835"/>
        <a:ext cx="4071620" cy="288607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163285</xdr:colOff>
      <xdr:row>308</xdr:row>
      <xdr:rowOff>32658</xdr:rowOff>
    </xdr:from>
    <xdr:to>
      <xdr:col>14</xdr:col>
      <xdr:colOff>163285</xdr:colOff>
      <xdr:row>321</xdr:row>
      <xdr:rowOff>299358</xdr:rowOff>
    </xdr:to>
    <xdr:graphicFrame>
      <xdr:nvGraphicFramePr>
        <xdr:cNvPr id="5" name="Chart 5"/>
        <xdr:cNvGraphicFramePr/>
      </xdr:nvGraphicFramePr>
      <xdr:xfrm>
        <a:off x="4363085" y="71184135"/>
        <a:ext cx="4071620" cy="286702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337457</xdr:colOff>
      <xdr:row>368</xdr:row>
      <xdr:rowOff>146957</xdr:rowOff>
    </xdr:from>
    <xdr:to>
      <xdr:col>14</xdr:col>
      <xdr:colOff>337457</xdr:colOff>
      <xdr:row>383</xdr:row>
      <xdr:rowOff>32657</xdr:rowOff>
    </xdr:to>
    <xdr:graphicFrame>
      <xdr:nvGraphicFramePr>
        <xdr:cNvPr id="6" name="Chart 6"/>
        <xdr:cNvGraphicFramePr/>
      </xdr:nvGraphicFramePr>
      <xdr:xfrm>
        <a:off x="4537075" y="85776435"/>
        <a:ext cx="4071620" cy="288607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8</xdr:col>
      <xdr:colOff>582386</xdr:colOff>
      <xdr:row>106</xdr:row>
      <xdr:rowOff>185056</xdr:rowOff>
    </xdr:from>
    <xdr:to>
      <xdr:col>15</xdr:col>
      <xdr:colOff>582386</xdr:colOff>
      <xdr:row>121</xdr:row>
      <xdr:rowOff>70756</xdr:rowOff>
    </xdr:to>
    <xdr:graphicFrame>
      <xdr:nvGraphicFramePr>
        <xdr:cNvPr id="3" name="Chart 3"/>
        <xdr:cNvGraphicFramePr/>
      </xdr:nvGraphicFramePr>
      <xdr:xfrm>
        <a:off x="5363210" y="23806785"/>
        <a:ext cx="4071620" cy="27432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163285</xdr:colOff>
      <xdr:row>308</xdr:row>
      <xdr:rowOff>32658</xdr:rowOff>
    </xdr:from>
    <xdr:to>
      <xdr:col>14</xdr:col>
      <xdr:colOff>163285</xdr:colOff>
      <xdr:row>321</xdr:row>
      <xdr:rowOff>299358</xdr:rowOff>
    </xdr:to>
    <xdr:graphicFrame>
      <xdr:nvGraphicFramePr>
        <xdr:cNvPr id="5" name="Chart 5"/>
        <xdr:cNvGraphicFramePr/>
      </xdr:nvGraphicFramePr>
      <xdr:xfrm>
        <a:off x="4363085" y="71193660"/>
        <a:ext cx="4071620" cy="286702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337457</xdr:colOff>
      <xdr:row>368</xdr:row>
      <xdr:rowOff>146957</xdr:rowOff>
    </xdr:from>
    <xdr:to>
      <xdr:col>14</xdr:col>
      <xdr:colOff>337457</xdr:colOff>
      <xdr:row>383</xdr:row>
      <xdr:rowOff>32657</xdr:rowOff>
    </xdr:to>
    <xdr:graphicFrame>
      <xdr:nvGraphicFramePr>
        <xdr:cNvPr id="6" name="Chart 6"/>
        <xdr:cNvGraphicFramePr/>
      </xdr:nvGraphicFramePr>
      <xdr:xfrm>
        <a:off x="4537075" y="85785960"/>
        <a:ext cx="4071620" cy="288607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8</xdr:col>
      <xdr:colOff>582386</xdr:colOff>
      <xdr:row>106</xdr:row>
      <xdr:rowOff>185056</xdr:rowOff>
    </xdr:from>
    <xdr:to>
      <xdr:col>15</xdr:col>
      <xdr:colOff>582386</xdr:colOff>
      <xdr:row>121</xdr:row>
      <xdr:rowOff>70756</xdr:rowOff>
    </xdr:to>
    <xdr:graphicFrame>
      <xdr:nvGraphicFramePr>
        <xdr:cNvPr id="3" name="Chart 3"/>
        <xdr:cNvGraphicFramePr/>
      </xdr:nvGraphicFramePr>
      <xdr:xfrm>
        <a:off x="5363210" y="25064085"/>
        <a:ext cx="4071620" cy="288607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206828</xdr:colOff>
      <xdr:row>247</xdr:row>
      <xdr:rowOff>141514</xdr:rowOff>
    </xdr:from>
    <xdr:to>
      <xdr:col>14</xdr:col>
      <xdr:colOff>206828</xdr:colOff>
      <xdr:row>257</xdr:row>
      <xdr:rowOff>174171</xdr:rowOff>
    </xdr:to>
    <xdr:graphicFrame>
      <xdr:nvGraphicFramePr>
        <xdr:cNvPr id="4" name="Chart 4"/>
        <xdr:cNvGraphicFramePr/>
      </xdr:nvGraphicFramePr>
      <xdr:xfrm>
        <a:off x="7600950" y="50991770"/>
        <a:ext cx="4071620" cy="222885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74386</xdr:colOff>
      <xdr:row>134</xdr:row>
      <xdr:rowOff>64406</xdr:rowOff>
    </xdr:from>
    <xdr:to>
      <xdr:col>15</xdr:col>
      <xdr:colOff>74386</xdr:colOff>
      <xdr:row>146</xdr:row>
      <xdr:rowOff>102506</xdr:rowOff>
    </xdr:to>
    <xdr:graphicFrame>
      <xdr:nvGraphicFramePr>
        <xdr:cNvPr id="5" name="Chart 3"/>
        <xdr:cNvGraphicFramePr/>
      </xdr:nvGraphicFramePr>
      <xdr:xfrm>
        <a:off x="8050530" y="28020645"/>
        <a:ext cx="4071620" cy="27432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able2" displayName="Table2" ref="F2:G542" totalsRowShown="0">
  <autoFilter xmlns:etc="http://www.wps.cn/officeDocument/2017/etCustomData" ref="F2:G542" etc:filterBottomFollowUsedRange="0"/>
  <tableColumns count="2">
    <tableColumn id="1" name="Регион" dataDxfId="10"/>
    <tableColumn id="2" name="Город" dataDxfId="1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comments" Target="../comments3.xml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comments" Target="../comments4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Лист26"/>
  <dimension ref="A1:AA49"/>
  <sheetViews>
    <sheetView tabSelected="1" zoomScale="80" zoomScaleNormal="80" topLeftCell="A4" workbookViewId="0">
      <selection activeCell="A1" sqref="A1"/>
    </sheetView>
  </sheetViews>
  <sheetFormatPr defaultColWidth="0" defaultRowHeight="14.25" zeroHeight="1"/>
  <cols>
    <col min="1" max="1" width="53.4571428571429" style="503" customWidth="1"/>
    <col min="2" max="8" width="25.2666666666667" style="503" customWidth="1"/>
    <col min="9" max="9" width="41.2666666666667" style="503" customWidth="1"/>
    <col min="10" max="10" width="21" style="503" hidden="1" customWidth="1"/>
    <col min="11" max="11" width="9.18095238095238" style="503" hidden="1" customWidth="1"/>
    <col min="12" max="27" width="0" style="503" hidden="1" customWidth="1"/>
    <col min="28" max="16384" width="9.18095238095238" style="503" hidden="1"/>
  </cols>
  <sheetData>
    <row r="1" s="327" customFormat="1" ht="31.15" customHeight="1" spans="1:27">
      <c r="A1" s="330" t="s">
        <v>0</v>
      </c>
      <c r="B1" s="504"/>
      <c r="C1" s="504"/>
      <c r="D1" s="504"/>
      <c r="E1" s="504"/>
      <c r="F1" s="504"/>
      <c r="G1" s="504"/>
      <c r="H1" s="504"/>
      <c r="I1" s="504"/>
      <c r="J1" s="527"/>
      <c r="K1" s="527"/>
      <c r="L1" s="396"/>
      <c r="M1" s="396"/>
      <c r="N1" s="396"/>
      <c r="O1" s="396"/>
      <c r="P1" s="396"/>
      <c r="Q1" s="396"/>
      <c r="R1" s="396"/>
      <c r="S1" s="396"/>
      <c r="T1" s="396"/>
      <c r="U1" s="396"/>
      <c r="V1" s="396"/>
      <c r="W1" s="396"/>
      <c r="X1" s="396"/>
      <c r="Y1" s="396"/>
      <c r="Z1" s="396"/>
      <c r="AA1" s="396"/>
    </row>
    <row r="2" s="502" customFormat="1" spans="1:19">
      <c r="A2" s="333"/>
      <c r="B2" s="333"/>
      <c r="C2" s="333"/>
      <c r="D2" s="333"/>
      <c r="E2" s="333"/>
      <c r="F2" s="333"/>
      <c r="G2" s="333"/>
      <c r="H2" s="333"/>
      <c r="I2" s="333"/>
      <c r="J2" s="333"/>
      <c r="K2" s="333"/>
      <c r="L2" s="333"/>
      <c r="M2" s="333"/>
      <c r="N2" s="333"/>
      <c r="O2" s="333"/>
      <c r="P2" s="333"/>
      <c r="Q2" s="333"/>
      <c r="R2" s="333"/>
      <c r="S2" s="333"/>
    </row>
    <row r="3" s="502" customFormat="1" ht="1.9" customHeight="1" spans="1:11">
      <c r="A3" s="505" t="s">
        <v>1</v>
      </c>
      <c r="B3" s="505"/>
      <c r="C3" s="505"/>
      <c r="D3" s="505"/>
      <c r="E3" s="505"/>
      <c r="F3" s="505"/>
      <c r="G3" s="505"/>
      <c r="H3" s="505"/>
      <c r="I3" s="505"/>
      <c r="J3" s="505"/>
      <c r="K3" s="333"/>
    </row>
    <row r="4" s="502" customFormat="1" ht="7.15" customHeight="1" spans="1:11">
      <c r="A4" s="505"/>
      <c r="B4" s="505"/>
      <c r="C4" s="505"/>
      <c r="D4" s="505"/>
      <c r="E4" s="505"/>
      <c r="F4" s="505"/>
      <c r="G4" s="505"/>
      <c r="H4" s="505"/>
      <c r="I4" s="505"/>
      <c r="J4" s="505"/>
      <c r="K4" s="333"/>
    </row>
    <row r="5" s="502" customFormat="1" spans="1:11">
      <c r="A5" s="505"/>
      <c r="B5" s="505"/>
      <c r="C5" s="505"/>
      <c r="D5" s="505"/>
      <c r="E5" s="505"/>
      <c r="F5" s="505"/>
      <c r="G5" s="505"/>
      <c r="H5" s="505"/>
      <c r="I5" s="505"/>
      <c r="J5" s="505"/>
      <c r="K5" s="333"/>
    </row>
    <row r="6" s="502" customFormat="1" spans="1:11">
      <c r="A6" s="505"/>
      <c r="B6" s="505"/>
      <c r="C6" s="505"/>
      <c r="D6" s="505"/>
      <c r="E6" s="505"/>
      <c r="F6" s="505"/>
      <c r="G6" s="505"/>
      <c r="H6" s="505"/>
      <c r="I6" s="505"/>
      <c r="J6" s="505"/>
      <c r="K6" s="333"/>
    </row>
    <row r="7" s="502" customFormat="1" ht="12" customHeight="1" spans="1:11">
      <c r="A7" s="505"/>
      <c r="B7" s="505"/>
      <c r="C7" s="505"/>
      <c r="D7" s="505"/>
      <c r="E7" s="505"/>
      <c r="F7" s="505"/>
      <c r="G7" s="505"/>
      <c r="H7" s="505"/>
      <c r="I7" s="505"/>
      <c r="J7" s="505"/>
      <c r="K7" s="333"/>
    </row>
    <row r="8" s="502" customFormat="1" ht="4.9" customHeight="1" spans="1:11">
      <c r="A8" s="505"/>
      <c r="B8" s="505"/>
      <c r="C8" s="505"/>
      <c r="D8" s="505"/>
      <c r="E8" s="505"/>
      <c r="F8" s="505"/>
      <c r="G8" s="505"/>
      <c r="H8" s="505"/>
      <c r="I8" s="505"/>
      <c r="J8" s="505"/>
      <c r="K8" s="333"/>
    </row>
    <row r="9" s="502" customFormat="1" ht="6" customHeight="1" spans="1:11">
      <c r="A9" s="505"/>
      <c r="B9" s="505"/>
      <c r="C9" s="505"/>
      <c r="D9" s="505"/>
      <c r="E9" s="505"/>
      <c r="F9" s="505"/>
      <c r="G9" s="505"/>
      <c r="H9" s="505"/>
      <c r="I9" s="505"/>
      <c r="J9" s="505"/>
      <c r="K9" s="333"/>
    </row>
    <row r="10" s="502" customFormat="1" spans="1:19">
      <c r="A10" s="333"/>
      <c r="B10" s="333"/>
      <c r="C10" s="333"/>
      <c r="D10" s="333"/>
      <c r="E10" s="333"/>
      <c r="F10" s="333"/>
      <c r="G10" s="333"/>
      <c r="H10" s="333"/>
      <c r="I10" s="333"/>
      <c r="J10" s="333"/>
      <c r="K10" s="333"/>
      <c r="L10" s="333"/>
      <c r="M10" s="333"/>
      <c r="N10" s="333"/>
      <c r="O10" s="333"/>
      <c r="P10" s="333"/>
      <c r="Q10" s="333"/>
      <c r="R10" s="333"/>
      <c r="S10" s="333"/>
    </row>
    <row r="11" s="502" customFormat="1" ht="6" customHeight="1" spans="1:11">
      <c r="A11" s="506" t="s">
        <v>2</v>
      </c>
      <c r="B11" s="506"/>
      <c r="C11" s="506"/>
      <c r="D11" s="506"/>
      <c r="E11" s="506"/>
      <c r="F11" s="506"/>
      <c r="G11" s="506"/>
      <c r="H11" s="506"/>
      <c r="I11" s="506"/>
      <c r="J11" s="506"/>
      <c r="K11" s="333"/>
    </row>
    <row r="12" s="502" customFormat="1" spans="1:11">
      <c r="A12" s="506"/>
      <c r="B12" s="506"/>
      <c r="C12" s="506"/>
      <c r="D12" s="506"/>
      <c r="E12" s="506"/>
      <c r="F12" s="506"/>
      <c r="G12" s="506"/>
      <c r="H12" s="506"/>
      <c r="I12" s="506"/>
      <c r="J12" s="506"/>
      <c r="K12" s="333"/>
    </row>
    <row r="13" s="502" customFormat="1" spans="1:11">
      <c r="A13" s="506"/>
      <c r="B13" s="506"/>
      <c r="C13" s="506"/>
      <c r="D13" s="506"/>
      <c r="E13" s="506"/>
      <c r="F13" s="506"/>
      <c r="G13" s="506"/>
      <c r="H13" s="506"/>
      <c r="I13" s="506"/>
      <c r="J13" s="506"/>
      <c r="K13" s="333"/>
    </row>
    <row r="14" s="502" customFormat="1" spans="1:11">
      <c r="A14" s="506"/>
      <c r="B14" s="506"/>
      <c r="C14" s="506"/>
      <c r="D14" s="506"/>
      <c r="E14" s="506"/>
      <c r="F14" s="506"/>
      <c r="G14" s="506"/>
      <c r="H14" s="506"/>
      <c r="I14" s="506"/>
      <c r="J14" s="506"/>
      <c r="K14" s="333"/>
    </row>
    <row r="15" s="502" customFormat="1" ht="6" customHeight="1" spans="1:11">
      <c r="A15" s="506"/>
      <c r="B15" s="506"/>
      <c r="C15" s="506"/>
      <c r="D15" s="506"/>
      <c r="E15" s="506"/>
      <c r="F15" s="506"/>
      <c r="G15" s="506"/>
      <c r="H15" s="506"/>
      <c r="I15" s="506"/>
      <c r="J15" s="506"/>
      <c r="K15" s="333"/>
    </row>
    <row r="16" s="502" customFormat="1" ht="4.9" customHeight="1" spans="1:11">
      <c r="A16" s="506"/>
      <c r="B16" s="506"/>
      <c r="C16" s="506"/>
      <c r="D16" s="506"/>
      <c r="E16" s="506"/>
      <c r="F16" s="506"/>
      <c r="G16" s="506"/>
      <c r="H16" s="506"/>
      <c r="I16" s="506"/>
      <c r="J16" s="506"/>
      <c r="K16" s="333"/>
    </row>
    <row r="17" s="502" customFormat="1" spans="1:19">
      <c r="A17" s="333"/>
      <c r="B17" s="333"/>
      <c r="C17" s="333"/>
      <c r="D17" s="333"/>
      <c r="E17" s="333"/>
      <c r="F17" s="333"/>
      <c r="G17" s="333"/>
      <c r="H17" s="333"/>
      <c r="I17" s="333"/>
      <c r="J17" s="333"/>
      <c r="K17" s="333"/>
      <c r="L17" s="333"/>
      <c r="M17" s="333"/>
      <c r="N17" s="333"/>
      <c r="O17" s="333"/>
      <c r="P17" s="333"/>
      <c r="Q17" s="333"/>
      <c r="R17" s="333"/>
      <c r="S17" s="333"/>
    </row>
    <row r="18" s="502" customFormat="1" spans="1:19">
      <c r="A18" s="507" t="s">
        <v>3</v>
      </c>
      <c r="B18" s="508">
        <v>46219</v>
      </c>
      <c r="C18" s="508"/>
      <c r="D18" s="333"/>
      <c r="E18" s="333"/>
      <c r="F18" s="333"/>
      <c r="G18" s="333"/>
      <c r="H18" s="333"/>
      <c r="I18" s="333"/>
      <c r="J18" s="333"/>
      <c r="K18" s="333"/>
      <c r="L18" s="333"/>
      <c r="M18" s="333"/>
      <c r="N18" s="333"/>
      <c r="O18" s="333"/>
      <c r="P18" s="333"/>
      <c r="Q18" s="333"/>
      <c r="R18" s="333"/>
      <c r="S18" s="333"/>
    </row>
    <row r="19" s="502" customFormat="1" spans="1:19">
      <c r="A19" s="507" t="s">
        <v>4</v>
      </c>
      <c r="B19" s="509" t="s">
        <v>5</v>
      </c>
      <c r="C19" s="509"/>
      <c r="D19" s="333"/>
      <c r="E19" s="333"/>
      <c r="F19" s="333"/>
      <c r="G19" s="333"/>
      <c r="H19" s="333"/>
      <c r="I19" s="333"/>
      <c r="J19" s="333"/>
      <c r="K19" s="333"/>
      <c r="L19" s="333"/>
      <c r="M19" s="333"/>
      <c r="N19" s="333"/>
      <c r="O19" s="333"/>
      <c r="P19" s="333"/>
      <c r="Q19" s="333"/>
      <c r="R19" s="333"/>
      <c r="S19" s="333"/>
    </row>
    <row r="20" s="502" customFormat="1" spans="1:19">
      <c r="A20" s="507" t="s">
        <v>6</v>
      </c>
      <c r="B20" s="509" t="s">
        <v>7</v>
      </c>
      <c r="C20" s="509"/>
      <c r="D20" s="333"/>
      <c r="E20" s="333"/>
      <c r="F20" s="333"/>
      <c r="G20" s="333"/>
      <c r="H20" s="333"/>
      <c r="I20" s="333"/>
      <c r="J20" s="333"/>
      <c r="K20" s="333"/>
      <c r="L20" s="333"/>
      <c r="M20" s="333"/>
      <c r="N20" s="333"/>
      <c r="O20" s="333"/>
      <c r="P20" s="333"/>
      <c r="Q20" s="333"/>
      <c r="R20" s="333"/>
      <c r="S20" s="333"/>
    </row>
    <row r="21" s="502" customFormat="1" spans="1:19">
      <c r="A21" s="507" t="s">
        <v>8</v>
      </c>
      <c r="B21" s="509" t="s">
        <v>9</v>
      </c>
      <c r="C21" s="509"/>
      <c r="D21" s="333"/>
      <c r="E21" s="333"/>
      <c r="F21" s="333"/>
      <c r="G21" s="333"/>
      <c r="H21" s="333"/>
      <c r="I21" s="333"/>
      <c r="J21" s="333"/>
      <c r="K21" s="333"/>
      <c r="L21" s="333"/>
      <c r="M21" s="333"/>
      <c r="N21" s="333"/>
      <c r="O21" s="333"/>
      <c r="P21" s="333"/>
      <c r="Q21" s="333"/>
      <c r="R21" s="333"/>
      <c r="S21" s="333"/>
    </row>
    <row r="22" s="502" customFormat="1" spans="1:19">
      <c r="A22" s="507" t="s">
        <v>10</v>
      </c>
      <c r="B22" s="510">
        <v>2341015709</v>
      </c>
      <c r="C22" s="510"/>
      <c r="D22" s="333"/>
      <c r="E22" s="333"/>
      <c r="F22" s="333"/>
      <c r="G22" s="333"/>
      <c r="H22" s="333"/>
      <c r="I22" s="333"/>
      <c r="J22" s="333"/>
      <c r="K22" s="333"/>
      <c r="L22" s="333"/>
      <c r="M22" s="333"/>
      <c r="N22" s="333"/>
      <c r="O22" s="333"/>
      <c r="P22" s="333"/>
      <c r="Q22" s="333"/>
      <c r="R22" s="333"/>
      <c r="S22" s="333"/>
    </row>
    <row r="23" s="502" customFormat="1" spans="1:19">
      <c r="A23" s="507" t="s">
        <v>11</v>
      </c>
      <c r="B23" s="511"/>
      <c r="C23" s="511"/>
      <c r="D23" s="333"/>
      <c r="E23" s="333"/>
      <c r="F23" s="333"/>
      <c r="G23" s="333"/>
      <c r="H23" s="333"/>
      <c r="I23" s="333"/>
      <c r="J23" s="333"/>
      <c r="K23" s="333"/>
      <c r="L23" s="333"/>
      <c r="M23" s="333"/>
      <c r="N23" s="333"/>
      <c r="O23" s="333"/>
      <c r="P23" s="333"/>
      <c r="Q23" s="333"/>
      <c r="R23" s="333"/>
      <c r="S23" s="333"/>
    </row>
    <row r="24" s="327" customFormat="1" spans="1:11">
      <c r="A24" s="512"/>
      <c r="B24" s="333"/>
      <c r="C24" s="333"/>
      <c r="D24" s="333"/>
      <c r="E24" s="333"/>
      <c r="F24" s="513"/>
      <c r="G24" s="513"/>
      <c r="H24" s="513"/>
      <c r="I24" s="333"/>
      <c r="J24" s="333"/>
      <c r="K24" s="333"/>
    </row>
    <row r="25" s="502" customFormat="1" ht="67.9" customHeight="1" spans="1:11">
      <c r="A25" s="335" t="s">
        <v>12</v>
      </c>
      <c r="B25" s="335" t="s">
        <v>13</v>
      </c>
      <c r="C25" s="335" t="s">
        <v>14</v>
      </c>
      <c r="D25" s="335" t="s">
        <v>15</v>
      </c>
      <c r="E25" s="335" t="s">
        <v>16</v>
      </c>
      <c r="F25" s="514" t="s">
        <v>17</v>
      </c>
      <c r="G25" s="514" t="s">
        <v>18</v>
      </c>
      <c r="H25" s="514" t="s">
        <v>19</v>
      </c>
      <c r="I25" s="333"/>
      <c r="J25" s="333"/>
      <c r="K25" s="333"/>
    </row>
    <row r="26" s="502" customFormat="1" ht="39.75" customHeight="1" spans="1:11">
      <c r="A26" s="515" t="s">
        <v>20</v>
      </c>
      <c r="B26" s="516">
        <f>IF(I26="Перейдите к заполнению данных по зданию и УР","",IF(OR('2.УР ТЭ на нужды ОиВ'!B4="нет",'2.УР ТЭ на нужды ОиВ'!B5="нет"),"требование по снижению потребления не устанавливается",IFERROR('2.УР ТЭ на нужды ОиВ'!B9*1163*1000/'1.Общие данные по зданию'!C15/'1.Общие данные по зданию'!C19/VLOOKUP('1.Общие данные по зданию'!C6,'Экспресс потенциал'!B6:O27,13,0),"")))</f>
        <v>51.1137114540798</v>
      </c>
      <c r="C26" s="517">
        <f>IF(I26="Перейдите к заполнению данных по зданию и УР","",IF(OR('2.УР ТЭ на нужды ОиВ'!B4="нет",'2.УР ТЭ на нужды ОиВ'!B5="нет"),"неприменимо",IFERROR(VLOOKUP('1.Общие данные по зданию'!C6,'Экспресс потенциал'!B6:O27,6,0),"")))</f>
        <v>25.89</v>
      </c>
      <c r="D26" s="518">
        <f>IF(I26="Перейдите к заполнению данных по зданию и УР","",IF(OR('2.УР ТЭ на нужды ОиВ'!B4="нет",'2.УР ТЭ на нужды ОиВ'!B5="нет"),"неприменимо",IFERROR(VLOOKUP('1.Общие данные по зданию'!$C$6,'Экспресс потенциал'!$B$6:$AC$27,24,0),0)))</f>
        <v>0.505973282442748</v>
      </c>
      <c r="E26" s="518">
        <f>IF(I26="Перейдите к заполнению данных по зданию и УР","",IF(OR('2.УР ТЭ на нужды ОиВ'!B4="нет",'2.УР ТЭ на нужды ОиВ'!B5="нет"),"неприменимо",IFERROR(VLOOKUP('1.Общие данные по зданию'!$C$6,'Экспресс потенциал'!$B$6:$W$27,18,0),6%)))</f>
        <v>0.103583969465649</v>
      </c>
      <c r="F26" s="519">
        <f>IF(I26="Перейдите к заполнению данных по зданию и УР","",IF(OR('2.УР ТЭ на нужды ОиВ'!B4="нет",'2.УР ТЭ на нужды ОиВ'!B5="нет"),"неприменимо",IF(E26=0,"Здание эффективно. Требование не устанавливается.",IFERROR(B26-0.25*(B26-H26),""))))</f>
        <v>49.790071172446</v>
      </c>
      <c r="G26" s="519">
        <f>IF(I26="Перейдите к заполнению данных по зданию и УР","",IF(OR('2.УР ТЭ на нужды ОиВ'!B4="нет",'2.УР ТЭ на нужды ОиВ'!B5="нет"),"неприменимо",IF(E26=0,"Здание эффективно. Требование не устанавливается.",IFERROR(B26-0.5*(B26-H26),""))))</f>
        <v>48.4664308908121</v>
      </c>
      <c r="H26" s="519">
        <f>IF(I26="Перейдите к заполнению данных по зданию и УР","",IF(OR('2.УР ТЭ на нужды ОиВ'!B4="нет",'2.УР ТЭ на нужды ОиВ'!B5="нет"),"неприменимо",IF(E26=0,"Здание эффективно. Требование не устанавливается.",IFERROR(B26*(1-E26),""))))</f>
        <v>45.8191503275444</v>
      </c>
      <c r="I26" s="528" t="str">
        <f>IF('2.УР ТЭ на нужды ОиВ'!B11="Готово","Готово","Перейдите к заполнению данных по зданию и УР")</f>
        <v>Готово</v>
      </c>
      <c r="J26" s="529" t="str">
        <f>IF(AND(I26="готово",E26=0),"Здание эффективно, задание не назначается","")</f>
        <v/>
      </c>
      <c r="K26" s="333" t="str">
        <f>IF(AND(D26&lt;&gt;"",OR(D26&gt;0.7,D26&lt;0.05)),CONCATENATE("2",CHAR(10),""),"")</f>
        <v/>
      </c>
    </row>
    <row r="27" s="502" customFormat="1" ht="39.75" customHeight="1" spans="1:11">
      <c r="A27" s="515" t="s">
        <v>21</v>
      </c>
      <c r="B27" s="516" t="str">
        <f>IF(I27="Перейдите к заполнению данных по зданию и УР","",IF(OR('3.УР горячей воды'!B4="нет",'3.УР горячей воды'!B5="нет"),"требование по снижению потребления не устанавливается",IFERROR('3.УР горячей воды'!B6/('1.Общие данные по зданию'!C16)-'3.УР горячей воды'!B9*'1.Общие данные по зданию'!C21*'1.Общие данные по зданию'!C22,"")))</f>
        <v>требование по снижению потребления не устанавливается</v>
      </c>
      <c r="C27" s="517" t="str">
        <f>IF(I27="Перейдите к заполнению данных по зданию и УР","",IF(OR('3.УР горячей воды'!B4="нет",'3.УР горячей воды'!B5="нет"),"неприменимо",IFERROR(VLOOKUP('1.Общие данные по зданию'!$C$6,'Экспресс потенциал'!$B$6:$O$27,8,0),"")))</f>
        <v>неприменимо</v>
      </c>
      <c r="D27" s="518" t="str">
        <f>IF(I27="Перейдите к заполнению данных по зданию и УР","",IF(OR('3.УР горячей воды'!B4="нет",'3.УР горячей воды'!B5="нет"),"неприменимо",IFERROR(VLOOKUP('1.Общие данные по зданию'!$C$6,'Экспресс потенциал'!$B$6:$AC$27,25,0),0)))</f>
        <v>неприменимо</v>
      </c>
      <c r="E27" s="518" t="str">
        <f>IF(I27="Перейдите к заполнению данных по зданию и УР","",IF(OR('3.УР горячей воды'!B4="нет",'3.УР горячей воды'!B5="нет"),"неприменимо",IFERROR(VLOOKUP('1.Общие данные по зданию'!$C$6,'Экспресс потенциал'!$B$6:$W$27,19,0),6%)))</f>
        <v>неприменимо</v>
      </c>
      <c r="F27" s="519" t="str">
        <f>IF(I27="Перейдите к заполнению данных по зданию и УР","",IF(OR('3.УР горячей воды'!B4="нет",'3.УР горячей воды'!B5="нет"),"неприменимо",IF(E27=0,"Здание эффективно. Требование не устанавливается.",IFERROR(B27-0.25*(B27-H27),""))))</f>
        <v>неприменимо</v>
      </c>
      <c r="G27" s="519" t="str">
        <f>IF(I27="Перейдите к заполнению данных по зданию и УР","",IF(OR('3.УР горячей воды'!B4="нет",'3.УР горячей воды'!B5="нет"),"неприменимо",IF(E27=0,"Здание эффективно. Требование не устанавливается.",IFERROR(B27-0.5*(B27-H27),""))))</f>
        <v>неприменимо</v>
      </c>
      <c r="H27" s="519" t="str">
        <f>IF(I27="Перейдите к заполнению данных по зданию и УР","",IF(OR('3.УР горячей воды'!B4="нет",'3.УР горячей воды'!B5="нет"),"неприменимо",IF(E27=0,"Здание эффективно. Требование не устанавливается.",IFERROR(B27*(1-E27),""))))</f>
        <v>неприменимо</v>
      </c>
      <c r="I27" s="528" t="str">
        <f>IF('3.УР горячей воды'!B11="Готово","Готово","Перейдите к заполнению данных по зданию и УР")</f>
        <v>Готово</v>
      </c>
      <c r="J27" s="529" t="str">
        <f t="shared" ref="J27:J33" si="0">IF(AND(I27="готово",E27=0),"Здание эффективно, задание не назначается","")</f>
        <v/>
      </c>
      <c r="K27" s="333" t="str">
        <f>IF(AND(D27&lt;&gt;"",OR(D27&gt;0.7,D27&lt;0.05)),CONCATENATE("3",CHAR(10),""),"")</f>
        <v>3
</v>
      </c>
    </row>
    <row r="28" s="502" customFormat="1" ht="39.75" customHeight="1" spans="1:11">
      <c r="A28" s="520" t="s">
        <v>22</v>
      </c>
      <c r="B28" s="516">
        <f>IF(I28="Перейдите к заполнению данных по зданию и УР","",IF(OR('4.УР холодной воды'!B4="нет",'4.УР холодной воды'!B5="нет"),"требование по снижению потребления не устанавливается",IFERROR('4.УР холодной воды'!B6/('1.Общие данные по зданию'!C16)-'4.УР холодной воды'!B9*'1.Общие данные по зданию'!C21*'1.Общие данные по зданию'!C22,"")))</f>
        <v>3.38461538461538</v>
      </c>
      <c r="C28" s="517">
        <f>IF(I28="Перейдите к заполнению данных по зданию и УР","",IF(OR('4.УР холодной воды'!B4="нет",'4.УР холодной воды'!B5="нет"),"неприменимо",IFERROR(VLOOKUP('1.Общие данные по зданию'!$C$6,'Экспресс потенциал'!$B$6:$O$27,10,0),"")))</f>
        <v>0.5</v>
      </c>
      <c r="D28" s="518">
        <f>IF(I28="Перейдите к заполнению данных по зданию и УР","",IF(OR('4.УР холодной воды'!B4="нет",'4.УР холодной воды'!B5="нет"),"неприменимо",IFERROR(VLOOKUP('1.Общие данные по зданию'!$C$6,'Экспресс потенциал'!$B$6:$AC$27,26,0),0)))</f>
        <v>0.8606375</v>
      </c>
      <c r="E28" s="518">
        <f>IF(I28="Перейдите к заполнению данных по зданию и УР","",IF(OR('4.УР холодной воды'!B4="нет",'4.УР холодной воды'!B5="нет"),"неприменимо",IFERROR(VLOOKUP('1.Общие данные по зданию'!$C$6,'Экспресс потенциал'!$B$6:$W$27,20,0),6%)))</f>
        <v>0.3163825</v>
      </c>
      <c r="F28" s="519">
        <f>IF(I28="Перейдите к заполнению данных по зданию и УР","",IF(OR('4.УР холодной воды'!B4="нет",'4.УР холодной воды'!B5="нет"),"неприменимо",IF(E28=0,"Здание эффективно. Требование не устанавливается.",IFERROR(B28-0.25*(B28-H28),""))))</f>
        <v>3.11690711538461</v>
      </c>
      <c r="G28" s="519">
        <f>IF(I28="Перейдите к заполнению данных по зданию и УР","",IF(OR('4.УР холодной воды'!B4="нет",'4.УР холодной воды'!B5="нет"),"неприменимо",IF(E28=0,"Здание эффективно. Требование не устанавливается.",IFERROR(B28-0.5*(B28-H28),""))))</f>
        <v>2.84919884615385</v>
      </c>
      <c r="H28" s="519">
        <f>IF(I28="Перейдите к заполнению данных по зданию и УР","",IF(OR('4.УР холодной воды'!B4="нет",'4.УР холодной воды'!B5="нет"),"неприменимо",IF(E28=0,"Здание эффективно. Требование не устанавливается.",IFERROR(B28*(1-E28),""))))</f>
        <v>2.31378230769231</v>
      </c>
      <c r="I28" s="528" t="str">
        <f>IF('4.УР холодной воды'!B11="Готово","Готово","Перейдите к заполнению данных по зданию и УР")</f>
        <v>Готово</v>
      </c>
      <c r="J28" s="529" t="str">
        <f t="shared" si="0"/>
        <v/>
      </c>
      <c r="K28" s="333" t="str">
        <f>IF(AND(D28&lt;&gt;"",OR(D28&gt;0.7,D28&lt;0.05)),CONCATENATE("4",CHAR(10),""),"")</f>
        <v>4
</v>
      </c>
    </row>
    <row r="29" s="502" customFormat="1" ht="39.75" customHeight="1" spans="1:11">
      <c r="A29" s="520" t="s">
        <v>23</v>
      </c>
      <c r="B29" s="516">
        <f>IF(I29="Перейдите к заполнению данных по зданию и УР","",IF(OR('5.УР ЭЭ'!B4="нет"),"требование по снижению потребления не устанавливается",IFERROR('5.УР ЭЭ'!B5/'1.Общие данные по зданию'!C15-'5.УР ЭЭ'!B60-'5.УР ЭЭ'!B6/'1.Общие данные по зданию'!C15,"")))</f>
        <v>71.9519300801165</v>
      </c>
      <c r="C29" s="517">
        <f>IF(I29="Перейдите к заполнению данных по зданию и УР","",IF(OR('5.УР ЭЭ'!B4="нет"),"неприменимо",IFERROR(VLOOKUP('1.Общие данные по зданию'!C6,'Экспресс потенциал'!B6:O27,4,0),"")))</f>
        <v>26.23</v>
      </c>
      <c r="D29" s="518">
        <f>IF(I29="Перейдите к заполнению данных по зданию и УР","",IF(OR('5.УР ЭЭ'!B4="нет"),"неприменимо",IFERROR(VLOOKUP('1.Общие данные по зданию'!$C$6,'Экспресс потенциал'!$B$6:$AC$27,23,0),0)))</f>
        <v>0.639215955983494</v>
      </c>
      <c r="E29" s="518">
        <f>IF(I29="Перейдите к заполнению данных по зданию и УР","",IF(OR('5.УР ЭЭ'!B4="нет"),"неприменимо",IFERROR(VLOOKUP('1.Общие данные по зданию'!$C$6,'Экспресс потенциал'!$B$6:$W$27,17,0),6%)))</f>
        <v>0.183529573590096</v>
      </c>
      <c r="F29" s="519">
        <f>IF(I29="Перейдите к заполнению данных по зданию и УР","",IF(OR('5.УР ЭЭ'!B4="нет"),"неприменимо",IF(E29=0,"Здание эффективно. Требование не устанавливается.",IFERROR(B29-0.25*(B29-H29),""))))</f>
        <v>68.6506033184695</v>
      </c>
      <c r="G29" s="519">
        <f>IF(I29="Перейдите к заполнению данных по зданию и УР","",IF(OR('5.УР ЭЭ'!B4="нет"),"неприменимо",IF(E29=0,"Здание эффективно. Требование не устанавливается.",IFERROR(B29-0.5*(B29-H29),""))))</f>
        <v>65.3492765568224</v>
      </c>
      <c r="H29" s="519">
        <f>IF(I29="Перейдите к заполнению данных по зданию и УР","",IF(OR('5.УР ЭЭ'!B4="нет"),"неприменимо",IF(E29=0,"Здание эффективно. Требование не устанавливается.",IFERROR(B29*(1-E29),""))))</f>
        <v>58.7466230335283</v>
      </c>
      <c r="I29" s="528" t="str">
        <f>IF('5.УР ЭЭ'!B68="Готово","Готово","Перейдите к заполнению данных по зданию и УР")</f>
        <v>Готово</v>
      </c>
      <c r="J29" s="529" t="str">
        <f t="shared" si="0"/>
        <v/>
      </c>
      <c r="K29" s="333" t="str">
        <f>IF(AND(D29&lt;&gt;"",OR(D29&gt;0.7,D29&lt;0.05)),CONCATENATE("5",CHAR(10),""),"")</f>
        <v/>
      </c>
    </row>
    <row r="30" s="502" customFormat="1" ht="39.75" customHeight="1" spans="1:11">
      <c r="A30" s="521" t="s">
        <v>24</v>
      </c>
      <c r="B30" s="516" t="str">
        <f>IF(I30="Перейдите к заполнению данных по зданию и УР","",IF(OR('6.УР природного газа на цели ПП'!B4="нет",'6.УР природного газа на цели ПП'!B5="нет"),"требование по снижению потребления не устанавливается",IFERROR('6.УР природного газа на цели ПП'!B9,"")))</f>
        <v>требование по снижению потребления не устанавливается</v>
      </c>
      <c r="C30" s="517" t="str">
        <f>IF(I30="Перейдите к заполнению данных по зданию и УР","",IF(OR('6.УР природного газа на цели ПП'!B4="нет",'6.УР природного газа на цели ПП'!B5="нет"),"неприменимо",IFERROR(VLOOKUP('1.Общие данные по зданию'!$C$6,'Экспресс потенциал'!$B$6:$O$27,12,0),"")))</f>
        <v>неприменимо</v>
      </c>
      <c r="D30" s="518" t="str">
        <f>IF(I30="Перейдите к заполнению данных по зданию и УР","",IF(OR('6.УР природного газа на цели ПП'!B4="нет",'6.УР природного газа на цели ПП'!B5="нет"),"неприменимо",IFERROR(VLOOKUP('1.Общие данные по зданию'!$C$6,'Экспресс потенциал'!$B$6:$AC$27,27,0),0)))</f>
        <v>неприменимо</v>
      </c>
      <c r="E30" s="518" t="str">
        <f>IF(I30="Перейдите к заполнению данных по зданию и УР","",IF(OR('6.УР природного газа на цели ПП'!B4="нет",'6.УР природного газа на цели ПП'!B5="нет"),"неприменимо",IFERROR(VLOOKUP('1.Общие данные по зданию'!$C$6,'Экспресс потенциал'!$B$6:$W$27,21,0),6%)))</f>
        <v>неприменимо</v>
      </c>
      <c r="F30" s="519" t="str">
        <f>IF(I30="Перейдите к заполнению данных по зданию и УР","",IF(OR('6.УР природного газа на цели ПП'!B4="нет",'6.УР природного газа на цели ПП'!B5="нет"),"неприменимо",IF(E30=0,"Здание эффективно. Требование не устанавливается.",IFERROR(B30-0.25*(B30-H30),""))))</f>
        <v>неприменимо</v>
      </c>
      <c r="G30" s="519" t="str">
        <f>IF(I30="Перейдите к заполнению данных по зданию и УР","",IF(OR('6.УР природного газа на цели ПП'!B4="нет",'6.УР природного газа на цели ПП'!B5="нет"),"неприменимо",IF(E30=0,"Здание эффективно. Требование не устанавливается.",IFERROR(B30-0.5*(B30-H30),""))))</f>
        <v>неприменимо</v>
      </c>
      <c r="H30" s="519" t="str">
        <f>IF(I30="Перейдите к заполнению данных по зданию и УР","",IF(OR('6.УР природного газа на цели ПП'!B4="нет",'6.УР природного газа на цели ПП'!B5="нет"),"неприменимо",IF(E30=0,"Здание эффективно. Требование не устанавливается.",IFERROR(B30*(1-E30),""))))</f>
        <v>неприменимо</v>
      </c>
      <c r="I30" s="528" t="str">
        <f>IF('6.УР природного газа на цели ПП'!B11="Готово","Готово","Перейдите к заполнению данных по зданию и УР")</f>
        <v>Готово</v>
      </c>
      <c r="J30" s="529" t="str">
        <f t="shared" si="0"/>
        <v/>
      </c>
      <c r="K30" s="333" t="str">
        <f>IF(AND(D30&lt;&gt;"",OR(D30&gt;0.7,D30&lt;0.05)),CONCATENATE("6",CHAR(10),""),"")</f>
        <v>6
</v>
      </c>
    </row>
    <row r="31" s="502" customFormat="1" ht="39.75" customHeight="1" spans="1:11">
      <c r="A31" s="515" t="s">
        <v>25</v>
      </c>
      <c r="B31" s="516" t="str">
        <f>IF(I31="Перейдите к заполнению данных по зданию и УР","",IF(OR('7.УР топлива на отопл. и вент.'!B4="нет"),"требование по снижению потребления не устанавливается",IFERROR(SUM('7.УР топлива на отопл. и вент.'!I8:I15)*8.13*1000000/'1.Общие данные по зданию'!C15/'1.Общие данные по зданию'!C19/VLOOKUP('1.Общие данные по зданию'!C6,'Экспресс потенциал'!B6:O27,13,0),"")))</f>
        <v>требование по снижению потребления не устанавливается</v>
      </c>
      <c r="C31" s="517" t="str">
        <f>IF(I31="Перейдите к заполнению данных по зданию и УР","","неприменимо")</f>
        <v>неприменимо</v>
      </c>
      <c r="D31" s="517" t="str">
        <f>IF(I31="Перейдите к заполнению данных по зданию и УР","","неприменимо")</f>
        <v>неприменимо</v>
      </c>
      <c r="E31" s="518" t="str">
        <f>IF(I31="Перейдите к заполнению данных по зданию и УР","",IF('7.УР топлива на отопл. и вент.'!B4="нет","неприменимо","6%"))</f>
        <v>неприменимо</v>
      </c>
      <c r="F31" s="519" t="str">
        <f>IF(I31="Перейдите к заполнению данных по зданию и УР","",IF(OR('7.УР топлива на отопл. и вент.'!B4="нет"),"неприменимо",IF(E31=0,"Здание эффективно. Требование не устанавливается.",IFERROR(B31-0.25*(B31-H31),""))))</f>
        <v>неприменимо</v>
      </c>
      <c r="G31" s="519" t="str">
        <f>IF(I31="Перейдите к заполнению данных по зданию и УР","",IF(OR('7.УР топлива на отопл. и вент.'!B4="нет"),"неприменимо",IF(E31=0,"Здание эффективно. Требование не устанавливается.",IFERROR(B31-0.5*(B31-H31),""))))</f>
        <v>неприменимо</v>
      </c>
      <c r="H31" s="519" t="str">
        <f>IF(I31="Перейдите к заполнению данных по зданию и УР","",IF(OR('7.УР топлива на отопл. и вент.'!B4="нет"),"неприменимо",IF(E31=0,"Здание эффективно. Требование не устанавливается.",IFERROR(B31*(1-E31),""))))</f>
        <v>неприменимо</v>
      </c>
      <c r="I31" s="528" t="str">
        <f>IF('7.УР топлива на отопл. и вент.'!B21="Готово","Готово","Перейдите к заполнению данных по зданию и УР")</f>
        <v>Готово</v>
      </c>
      <c r="J31" s="529" t="str">
        <f t="shared" si="0"/>
        <v/>
      </c>
      <c r="K31" s="333" t="str">
        <f>IF(AND(D31&lt;&gt;"",OR(D31&gt;0.7,D31&lt;0.05)),CONCATENATE("7",CHAR(10),""),"")</f>
        <v>7
</v>
      </c>
    </row>
    <row r="32" s="502" customFormat="1" ht="39.75" customHeight="1" spans="1:11">
      <c r="A32" s="515" t="s">
        <v>26</v>
      </c>
      <c r="B32" s="516" t="str">
        <f>IF(I32="Перейдите к заполнению данных по зданию и УР","",IF(OR('7.УР топлива на отопл. и вент.'!B18="нет"),"требование по снижению потребления не устанавливается",IFERROR('7.УР топлива на отопл. и вент.'!C19*8.13*1000000/'1.Общие данные по зданию'!C15/'1.Общие данные по зданию'!C19/VLOOKUP('1.Общие данные по зданию'!C6,'Экспресс потенциал'!B6:O27,13,0),"")))</f>
        <v>требование по снижению потребления не устанавливается</v>
      </c>
      <c r="C32" s="517" t="str">
        <f>IF(I32="Перейдите к заполнению данных по зданию и УР","","неприменимо")</f>
        <v>неприменимо</v>
      </c>
      <c r="D32" s="518" t="str">
        <f>IF(I32="Перейдите к заполнению данных по зданию и УР","","неприменимо")</f>
        <v>неприменимо</v>
      </c>
      <c r="E32" s="518" t="str">
        <f>IF(I32="Перейдите к заполнению данных по зданию и УР","",IF(OR('7.УР топлива на отопл. и вент.'!B18="нет"),"неприменимо",6%))</f>
        <v>неприменимо</v>
      </c>
      <c r="F32" s="519" t="str">
        <f>IF(I32="Перейдите к заполнению данных по зданию и УР","",IF(OR('7.УР топлива на отопл. и вент.'!B18="нет"),"неприменимо",IF(E32=0,"Здание эффективно. Требование не устанавливается.",IFERROR(B32-0.25*(B32-H32),""))))</f>
        <v>неприменимо</v>
      </c>
      <c r="G32" s="519" t="str">
        <f>IF(I32="Перейдите к заполнению данных по зданию и УР","",IF(OR('7.УР топлива на отопл. и вент.'!B18="нет"),"неприменимо",IF(E32=0,"Здание эффективно. Требование не устанавливается.",IFERROR(B32-0.5*(B32-H32),""))))</f>
        <v>неприменимо</v>
      </c>
      <c r="H32" s="519" t="str">
        <f>IF(I32="Перейдите к заполнению данных по зданию и УР","",IF(OR('7.УР топлива на отопл. и вент.'!B18="нет"),"неприменимо",IF(E32=0,"Здание эффективно. Требование не устанавливается.",IFERROR(B32*(1-E32),""))))</f>
        <v>неприменимо</v>
      </c>
      <c r="I32" s="528" t="str">
        <f>IF('7.УР топлива на отопл. и вент.'!B22="Готово","Готово","Перейдите к заполнению данных по зданию и УР")</f>
        <v>Готово</v>
      </c>
      <c r="J32" s="529" t="str">
        <f t="shared" ref="J32" si="1">IF(AND(I32="готово",E32=0),"Здание эффективно, задание не назначается","")</f>
        <v/>
      </c>
      <c r="K32" s="333"/>
    </row>
    <row r="33" s="502" customFormat="1" ht="39.75" customHeight="1" spans="1:11">
      <c r="A33" s="515" t="s">
        <v>27</v>
      </c>
      <c r="B33" s="522" t="str">
        <f>IF(I33="Перейдите к заполнению данных по зданию и УР","",IF(OR('8.УР моторного топлива'!B4="нет"),"требование по снижению потребления не устанавливается",IFERROR(SUM('8.УР моторного топлива'!J8:J14)/(SUMPRODUCT('8.УР моторного топлива'!B23:B322,'8.УР моторного топлива'!C23:C322)+SUMPRODUCT('8.УР моторного топлива'!E23:E322,'8.УР моторного топлива'!F23:F322)),"")))</f>
        <v>требование по снижению потребления не устанавливается</v>
      </c>
      <c r="C33" s="517" t="str">
        <f>IF(I33="Перейдите к заполнению данных по зданию и УР","","неприменимо")</f>
        <v>неприменимо</v>
      </c>
      <c r="D33" s="518" t="str">
        <f>IF(I33="Перейдите к заполнению данных по зданию и УР","","неприменимо")</f>
        <v>неприменимо</v>
      </c>
      <c r="E33" s="518" t="str">
        <f>IF(I33="Перейдите к заполнению данных по зданию и УР","",IF('8.УР моторного топлива'!B4="нет","неприменимо","6%"))</f>
        <v>неприменимо</v>
      </c>
      <c r="F33" s="523" t="str">
        <f>IF(I33="Перейдите к заполнению данных по зданию и УР","",IF(OR('8.УР моторного топлива'!B4="нет"),"неприменимо",IF(E33=0,"Здание эффективно. Требование не устанавливается.",IFERROR(B33-0.25*(B33-H33),""))))</f>
        <v>неприменимо</v>
      </c>
      <c r="G33" s="523" t="str">
        <f>IF(I33="Перейдите к заполнению данных по зданию и УР","",IF(OR('8.УР моторного топлива'!B4="нет"),"неприменимо",IF(E33=0,"Здание эффективно. Требование не устанавливается.",IFERROR(B33-0.5*(B33-H33),""))))</f>
        <v>неприменимо</v>
      </c>
      <c r="H33" s="523" t="str">
        <f>IF(I33="Перейдите к заполнению данных по зданию и УР","",IF(OR('8.УР моторного топлива'!B4="нет"),"неприменимо",IF(E33=0,"Здание эффективно. Требование не устанавливается.",IFERROR(B33*(1-E33),""))))</f>
        <v>неприменимо</v>
      </c>
      <c r="I33" s="528" t="str">
        <f>IF('8.УР моторного топлива'!C324="Готово","Готово","Перейдите к заполнению данных по зданию и УР")</f>
        <v>Готово</v>
      </c>
      <c r="J33" s="529" t="str">
        <f t="shared" si="0"/>
        <v/>
      </c>
      <c r="K33" s="333"/>
    </row>
    <row r="34" s="502" customFormat="1" spans="1:11">
      <c r="A34" s="333"/>
      <c r="B34" s="333" t="str">
        <f>IF(OR(C26="неприменимо",C27="неприменимо",C28="неприменимо",C29="неприменимо",C30="неприменимо",C31="неприменимо",C33="неприменимо"),"неприменимо - невозможно рассчитать для данного ресурса и данного типа учреждения","")</f>
        <v>неприменимо - невозможно рассчитать для данного ресурса и данного типа учреждения</v>
      </c>
      <c r="C34" s="333"/>
      <c r="D34" s="333"/>
      <c r="E34" s="333"/>
      <c r="F34" s="333"/>
      <c r="G34" s="333"/>
      <c r="H34" s="333"/>
      <c r="I34" s="333"/>
      <c r="J34" s="333"/>
      <c r="K34" s="333"/>
    </row>
    <row r="35" s="327" customFormat="1" ht="25.9" customHeight="1" spans="1:27">
      <c r="A35" s="330" t="s">
        <v>28</v>
      </c>
      <c r="B35" s="524"/>
      <c r="C35" s="524"/>
      <c r="D35" s="524"/>
      <c r="E35" s="524"/>
      <c r="F35" s="524"/>
      <c r="G35" s="524"/>
      <c r="H35" s="524"/>
      <c r="I35" s="524"/>
      <c r="J35" s="527"/>
      <c r="K35" s="527"/>
      <c r="L35" s="396"/>
      <c r="M35" s="396"/>
      <c r="N35" s="396"/>
      <c r="O35" s="396"/>
      <c r="P35" s="396"/>
      <c r="Q35" s="396"/>
      <c r="R35" s="396"/>
      <c r="S35" s="396"/>
      <c r="T35" s="396"/>
      <c r="U35" s="396"/>
      <c r="V35" s="396"/>
      <c r="W35" s="396"/>
      <c r="X35" s="396"/>
      <c r="Y35" s="396"/>
      <c r="Z35" s="396"/>
      <c r="AA35" s="396"/>
    </row>
    <row r="36" s="502" customFormat="1" spans="1:11">
      <c r="A36" s="525" t="str">
        <f>CONCATENATE(списки!Q552,CHAR(10),"",списки!Q553,CHAR(10),"",списки!Q554,CHAR(10),"",списки!Q555,CHAR(10),"",списки!Q556,CHAR(10),"",списки!Q557,CHAR(10),"",списки!Q558,CHAR(10),"",списки!Q559)</f>
        <v>
</v>
      </c>
      <c r="B36" s="525"/>
      <c r="C36" s="525"/>
      <c r="D36" s="525"/>
      <c r="E36" s="525"/>
      <c r="F36" s="525"/>
      <c r="G36" s="525"/>
      <c r="H36" s="525"/>
      <c r="I36" s="333"/>
      <c r="J36" s="333"/>
      <c r="K36" s="333"/>
    </row>
    <row r="37" s="502" customFormat="1" spans="1:11">
      <c r="A37" s="525"/>
      <c r="B37" s="525"/>
      <c r="C37" s="525"/>
      <c r="D37" s="525"/>
      <c r="E37" s="525"/>
      <c r="F37" s="525"/>
      <c r="G37" s="525"/>
      <c r="H37" s="525"/>
      <c r="I37" s="333"/>
      <c r="J37" s="333"/>
      <c r="K37" s="333"/>
    </row>
    <row r="38" s="502" customFormat="1" spans="1:11">
      <c r="A38" s="525"/>
      <c r="B38" s="525"/>
      <c r="C38" s="525"/>
      <c r="D38" s="525"/>
      <c r="E38" s="525"/>
      <c r="F38" s="525"/>
      <c r="G38" s="525"/>
      <c r="H38" s="525"/>
      <c r="I38" s="333"/>
      <c r="J38" s="333"/>
      <c r="K38" s="333"/>
    </row>
    <row r="39" s="502" customFormat="1" spans="1:11">
      <c r="A39" s="525"/>
      <c r="B39" s="525"/>
      <c r="C39" s="525"/>
      <c r="D39" s="525"/>
      <c r="E39" s="525"/>
      <c r="F39" s="525"/>
      <c r="G39" s="525"/>
      <c r="H39" s="525"/>
      <c r="I39" s="333"/>
      <c r="J39" s="333"/>
      <c r="K39" s="333"/>
    </row>
    <row r="40" s="502" customFormat="1" spans="1:11">
      <c r="A40" s="525"/>
      <c r="B40" s="525"/>
      <c r="C40" s="525"/>
      <c r="D40" s="525"/>
      <c r="E40" s="525"/>
      <c r="F40" s="525"/>
      <c r="G40" s="525"/>
      <c r="H40" s="525"/>
      <c r="I40" s="333"/>
      <c r="J40" s="333"/>
      <c r="K40" s="333"/>
    </row>
    <row r="41" s="502" customFormat="1" spans="1:11">
      <c r="A41" s="525"/>
      <c r="B41" s="525"/>
      <c r="C41" s="525"/>
      <c r="D41" s="525"/>
      <c r="E41" s="525"/>
      <c r="F41" s="525"/>
      <c r="G41" s="525"/>
      <c r="H41" s="525"/>
      <c r="I41" s="333"/>
      <c r="J41" s="333"/>
      <c r="K41" s="333"/>
    </row>
    <row r="42" s="502" customFormat="1" spans="1:11">
      <c r="A42" s="525"/>
      <c r="B42" s="525"/>
      <c r="C42" s="525"/>
      <c r="D42" s="525"/>
      <c r="E42" s="525"/>
      <c r="F42" s="525"/>
      <c r="G42" s="525"/>
      <c r="H42" s="525"/>
      <c r="I42" s="333"/>
      <c r="J42" s="333"/>
      <c r="K42" s="333"/>
    </row>
    <row r="43" s="502" customFormat="1" ht="26.65" customHeight="1" spans="1:11">
      <c r="A43" s="525"/>
      <c r="B43" s="525"/>
      <c r="C43" s="525"/>
      <c r="D43" s="525"/>
      <c r="E43" s="525"/>
      <c r="F43" s="525"/>
      <c r="G43" s="525"/>
      <c r="H43" s="525"/>
      <c r="I43" s="333"/>
      <c r="J43" s="333"/>
      <c r="K43" s="333"/>
    </row>
    <row r="44" s="502" customFormat="1" ht="124.9" customHeight="1" spans="1:11">
      <c r="A44" s="526" t="str">
        <f>IF(CONCATENATE(K26,K27,K28,K29,K30,K31,K32,K33)&lt;&gt;"",CONCATENATE("Рекомендуется проверить ввод на листах:",CHAR(10),"","1","",CHAR(10),"",K26,K27,K28,K29,K30,K31,K32,K33),"")</f>
        <v>Рекомендуется проверить ввод на листах:
1
3
4
6
7
</v>
      </c>
      <c r="B44" s="526"/>
      <c r="C44" s="526"/>
      <c r="D44" s="526"/>
      <c r="E44" s="526"/>
      <c r="F44" s="526"/>
      <c r="G44" s="526"/>
      <c r="H44" s="526"/>
      <c r="I44" s="333"/>
      <c r="J44" s="333"/>
      <c r="K44" s="333"/>
    </row>
    <row r="45" spans="1:11">
      <c r="A45" s="333"/>
      <c r="B45" s="333"/>
      <c r="C45" s="333"/>
      <c r="D45" s="333"/>
      <c r="E45" s="333"/>
      <c r="F45" s="333"/>
      <c r="G45" s="333"/>
      <c r="H45" s="333"/>
      <c r="I45" s="333"/>
      <c r="J45" s="333"/>
      <c r="K45" s="333"/>
    </row>
    <row r="46" spans="1:11">
      <c r="A46" s="333"/>
      <c r="B46" s="333"/>
      <c r="C46" s="333"/>
      <c r="D46" s="333"/>
      <c r="E46" s="333"/>
      <c r="F46" s="333"/>
      <c r="G46" s="333"/>
      <c r="H46" s="333"/>
      <c r="I46" s="333"/>
      <c r="J46" s="333"/>
      <c r="K46" s="333"/>
    </row>
    <row r="47" hidden="1" spans="1:11">
      <c r="A47" s="333"/>
      <c r="B47" s="333"/>
      <c r="C47" s="333"/>
      <c r="D47" s="333"/>
      <c r="E47" s="333"/>
      <c r="F47" s="333"/>
      <c r="G47" s="333"/>
      <c r="H47" s="333"/>
      <c r="I47" s="333"/>
      <c r="J47" s="333"/>
      <c r="K47" s="333"/>
    </row>
    <row r="48" hidden="1" spans="1:11">
      <c r="A48" s="333"/>
      <c r="B48" s="333"/>
      <c r="C48" s="333"/>
      <c r="D48" s="333"/>
      <c r="E48" s="333"/>
      <c r="F48" s="333"/>
      <c r="G48" s="333"/>
      <c r="H48" s="333"/>
      <c r="I48" s="333"/>
      <c r="J48" s="333"/>
      <c r="K48" s="333"/>
    </row>
    <row r="49" hidden="1" spans="1:11">
      <c r="A49" s="333"/>
      <c r="B49" s="333"/>
      <c r="C49" s="333"/>
      <c r="D49" s="333"/>
      <c r="E49" s="333"/>
      <c r="F49" s="333"/>
      <c r="G49" s="333"/>
      <c r="H49" s="333"/>
      <c r="I49" s="333"/>
      <c r="J49" s="333"/>
      <c r="K49" s="333"/>
    </row>
  </sheetData>
  <sheetProtection algorithmName="SHA-512" hashValue="mp34aPGIzPDTPsKirlIkEkWR5ILyFc5XimiSpKbXPcFREJn+/o2u/h6QPgo6A+EtyGyefq6ppkfO8slTaVRQog==" saltValue="XVT9rAuAMleZGDl9PEwuBw==" spinCount="100000" sheet="1" objects="1" scenarios="1"/>
  <mergeCells count="11">
    <mergeCell ref="B18:C18"/>
    <mergeCell ref="B19:C19"/>
    <mergeCell ref="B20:C20"/>
    <mergeCell ref="B21:C21"/>
    <mergeCell ref="B22:C22"/>
    <mergeCell ref="B23:C23"/>
    <mergeCell ref="F24:H24"/>
    <mergeCell ref="A44:H44"/>
    <mergeCell ref="A3:J9"/>
    <mergeCell ref="A11:J16"/>
    <mergeCell ref="A36:H43"/>
  </mergeCells>
  <conditionalFormatting sqref="I32">
    <cfRule type="containsText" dxfId="0" priority="3" operator="between" text="Перейдите к заполнению данных по зданию и УР">
      <formula>NOT(ISERROR(SEARCH("Перейдите к заполнению данных по зданию и УР",I32)))</formula>
    </cfRule>
    <cfRule type="containsText" dxfId="1" priority="4" operator="between" text="Готово">
      <formula>NOT(ISERROR(SEARCH("Готово",I32)))</formula>
    </cfRule>
  </conditionalFormatting>
  <conditionalFormatting sqref="I33">
    <cfRule type="containsText" dxfId="0" priority="1" operator="between" text="Перейдите к заполнению данных по зданию и УР">
      <formula>NOT(ISERROR(SEARCH("Перейдите к заполнению данных по зданию и УР",I33)))</formula>
    </cfRule>
    <cfRule type="containsText" dxfId="1" priority="2" operator="between" text="Готово">
      <formula>NOT(ISERROR(SEARCH("Готово",I33)))</formula>
    </cfRule>
  </conditionalFormatting>
  <conditionalFormatting sqref="I26:I31">
    <cfRule type="containsText" dxfId="0" priority="5" operator="between" text="Перейдите к заполнению данных по зданию и УР">
      <formula>NOT(ISERROR(SEARCH("Перейдите к заполнению данных по зданию и УР",I26)))</formula>
    </cfRule>
    <cfRule type="containsText" dxfId="1" priority="6" operator="between" text="Готово">
      <formula>NOT(ISERROR(SEARCH("Готово",I26)))</formula>
    </cfRule>
  </conditionalFormatting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Лист32"/>
  <dimension ref="A1:Z22"/>
  <sheetViews>
    <sheetView topLeftCell="A7" workbookViewId="0">
      <selection activeCell="B18" sqref="B18"/>
    </sheetView>
  </sheetViews>
  <sheetFormatPr defaultColWidth="0" defaultRowHeight="14.25" zeroHeight="1"/>
  <cols>
    <col min="1" max="1" width="52.4571428571429" style="329" customWidth="1"/>
    <col min="2" max="2" width="25" style="329" customWidth="1"/>
    <col min="3" max="3" width="20.4571428571429" style="329" customWidth="1"/>
    <col min="4" max="4" width="13.7238095238095" style="329" customWidth="1"/>
    <col min="5" max="6" width="12.1809523809524" style="329" customWidth="1"/>
    <col min="7" max="7" width="12.7238095238095" style="329" customWidth="1"/>
    <col min="8" max="8" width="6.45714285714286" style="329" customWidth="1"/>
    <col min="9" max="27" width="9.18095238095238" style="329" hidden="1" customWidth="1"/>
    <col min="28" max="16381" width="9.18095238095238" style="329" hidden="1"/>
    <col min="16382" max="16382" width="4.18095238095238" style="329" hidden="1" customWidth="1"/>
    <col min="16383" max="16383" width="1.45714285714286" style="329" hidden="1" customWidth="1"/>
    <col min="16384" max="16384" width="3.72380952380952" style="329" hidden="1" customWidth="1"/>
  </cols>
  <sheetData>
    <row r="1" s="327" customFormat="1" ht="27" customHeight="1" spans="1:26">
      <c r="A1" s="330" t="s">
        <v>294</v>
      </c>
      <c r="B1" s="331"/>
      <c r="C1" s="332" t="s">
        <v>102</v>
      </c>
      <c r="D1" s="331"/>
      <c r="E1" s="331"/>
      <c r="F1" s="331"/>
      <c r="G1" s="331"/>
      <c r="H1" s="331"/>
      <c r="I1" s="395"/>
      <c r="J1" s="396"/>
      <c r="K1" s="396"/>
      <c r="L1" s="396"/>
      <c r="M1" s="396"/>
      <c r="N1" s="396"/>
      <c r="O1" s="396"/>
      <c r="P1" s="396"/>
      <c r="Q1" s="396"/>
      <c r="R1" s="396"/>
      <c r="S1" s="396"/>
      <c r="T1" s="396"/>
      <c r="U1" s="396"/>
      <c r="V1" s="396"/>
      <c r="W1" s="396"/>
      <c r="X1" s="396"/>
      <c r="Y1" s="396"/>
      <c r="Z1" s="396"/>
    </row>
    <row r="2" s="327" customFormat="1" ht="19.9" customHeight="1" spans="1:9">
      <c r="A2" s="333"/>
      <c r="B2" s="333"/>
      <c r="C2" s="334" t="s">
        <v>103</v>
      </c>
      <c r="D2" s="333"/>
      <c r="E2" s="333"/>
      <c r="F2" s="333"/>
      <c r="G2" s="333"/>
      <c r="H2" s="333"/>
      <c r="I2" s="333"/>
    </row>
    <row r="3" s="327" customFormat="1" ht="57" spans="1:9">
      <c r="A3" s="335" t="s">
        <v>104</v>
      </c>
      <c r="B3" s="336" t="s">
        <v>105</v>
      </c>
      <c r="C3" s="335" t="s">
        <v>106</v>
      </c>
      <c r="D3" s="337" t="s">
        <v>107</v>
      </c>
      <c r="E3" s="335" t="s">
        <v>108</v>
      </c>
      <c r="F3" s="335"/>
      <c r="G3" s="335"/>
      <c r="H3" s="333"/>
      <c r="I3" s="333"/>
    </row>
    <row r="4" s="327" customFormat="1" ht="42" customHeight="1" spans="1:9">
      <c r="A4" s="338" t="s">
        <v>295</v>
      </c>
      <c r="B4" s="339" t="s">
        <v>133</v>
      </c>
      <c r="C4" s="340"/>
      <c r="D4" s="341" t="s">
        <v>296</v>
      </c>
      <c r="E4" s="342" t="s">
        <v>297</v>
      </c>
      <c r="F4" s="342"/>
      <c r="G4" s="342"/>
      <c r="H4" s="333"/>
      <c r="I4" s="333"/>
    </row>
    <row r="5" ht="12.4" hidden="1" customHeight="1" spans="1:9">
      <c r="A5" s="361" t="s">
        <v>298</v>
      </c>
      <c r="B5" s="362"/>
      <c r="C5" s="363" t="s">
        <v>299</v>
      </c>
      <c r="D5" s="364" t="s">
        <v>300</v>
      </c>
      <c r="E5" s="365" t="s">
        <v>114</v>
      </c>
      <c r="F5" s="365"/>
      <c r="G5" s="365"/>
      <c r="H5" s="333"/>
      <c r="I5" s="333"/>
    </row>
    <row r="6" ht="25.9" customHeight="1" spans="1:10">
      <c r="A6" s="366" t="s">
        <v>301</v>
      </c>
      <c r="B6" s="367"/>
      <c r="C6" s="368"/>
      <c r="D6" s="333"/>
      <c r="E6" s="333"/>
      <c r="F6" s="333"/>
      <c r="G6" s="333"/>
      <c r="H6" s="333"/>
      <c r="I6" s="333"/>
      <c r="J6" s="333"/>
    </row>
    <row r="7" ht="48" customHeight="1" spans="1:10">
      <c r="A7" s="369" t="s">
        <v>302</v>
      </c>
      <c r="B7" s="369" t="s">
        <v>303</v>
      </c>
      <c r="C7" s="369" t="s">
        <v>304</v>
      </c>
      <c r="D7" s="369" t="s">
        <v>305</v>
      </c>
      <c r="E7" s="369" t="s">
        <v>108</v>
      </c>
      <c r="F7" s="369"/>
      <c r="G7" s="369"/>
      <c r="H7" s="333"/>
      <c r="I7" s="333"/>
      <c r="J7" s="357" t="s">
        <v>306</v>
      </c>
    </row>
    <row r="8" s="360" customFormat="1" ht="21" customHeight="1" spans="1:9">
      <c r="A8" s="361" t="s">
        <v>307</v>
      </c>
      <c r="B8" s="370" t="s">
        <v>308</v>
      </c>
      <c r="C8" s="371"/>
      <c r="D8" s="372" t="s">
        <v>309</v>
      </c>
      <c r="E8" s="373" t="s">
        <v>114</v>
      </c>
      <c r="F8" s="374"/>
      <c r="G8" s="375"/>
      <c r="H8" s="333"/>
      <c r="I8" s="397">
        <f>C8*списки!C564</f>
        <v>0</v>
      </c>
    </row>
    <row r="9" s="360" customFormat="1" ht="19.15" customHeight="1" spans="1:9">
      <c r="A9" s="361" t="s">
        <v>310</v>
      </c>
      <c r="B9" s="370" t="s">
        <v>308</v>
      </c>
      <c r="C9" s="371"/>
      <c r="D9" s="376"/>
      <c r="E9" s="377"/>
      <c r="F9" s="378"/>
      <c r="G9" s="379"/>
      <c r="H9" s="333"/>
      <c r="I9" s="397">
        <f>C9*списки!C565</f>
        <v>0</v>
      </c>
    </row>
    <row r="10" s="360" customFormat="1" ht="21" customHeight="1" spans="1:9">
      <c r="A10" s="361" t="s">
        <v>311</v>
      </c>
      <c r="B10" s="370" t="s">
        <v>308</v>
      </c>
      <c r="C10" s="371"/>
      <c r="D10" s="380"/>
      <c r="E10" s="381"/>
      <c r="F10" s="381"/>
      <c r="G10" s="382"/>
      <c r="H10" s="333"/>
      <c r="I10" s="397">
        <f>C10*списки!C566</f>
        <v>0</v>
      </c>
    </row>
    <row r="11" s="360" customFormat="1" ht="15" spans="1:9">
      <c r="A11" s="361" t="s">
        <v>312</v>
      </c>
      <c r="B11" s="370" t="s">
        <v>308</v>
      </c>
      <c r="C11" s="371"/>
      <c r="D11" s="383"/>
      <c r="E11" s="384"/>
      <c r="F11" s="384"/>
      <c r="G11" s="385"/>
      <c r="H11" s="333"/>
      <c r="I11" s="397">
        <f>C11*списки!C567</f>
        <v>0</v>
      </c>
    </row>
    <row r="12" s="360" customFormat="1" ht="15" spans="1:9">
      <c r="A12" s="361" t="s">
        <v>313</v>
      </c>
      <c r="B12" s="370" t="s">
        <v>314</v>
      </c>
      <c r="C12" s="371"/>
      <c r="D12" s="383"/>
      <c r="E12" s="384"/>
      <c r="F12" s="384"/>
      <c r="G12" s="385"/>
      <c r="H12" s="333"/>
      <c r="I12" s="397">
        <f>C12*списки!C568</f>
        <v>0</v>
      </c>
    </row>
    <row r="13" s="360" customFormat="1" ht="15" spans="1:9">
      <c r="A13" s="361" t="s">
        <v>315</v>
      </c>
      <c r="B13" s="370" t="s">
        <v>308</v>
      </c>
      <c r="C13" s="371"/>
      <c r="D13" s="383"/>
      <c r="E13" s="384"/>
      <c r="F13" s="384"/>
      <c r="G13" s="385"/>
      <c r="H13" s="333"/>
      <c r="I13" s="397">
        <f>C13*списки!C569</f>
        <v>0</v>
      </c>
    </row>
    <row r="14" s="360" customFormat="1" ht="15" spans="1:9">
      <c r="A14" s="361" t="s">
        <v>316</v>
      </c>
      <c r="B14" s="370" t="s">
        <v>308</v>
      </c>
      <c r="C14" s="371"/>
      <c r="D14" s="383"/>
      <c r="E14" s="384"/>
      <c r="F14" s="384"/>
      <c r="G14" s="385"/>
      <c r="H14" s="333"/>
      <c r="I14" s="397">
        <f>C14*списки!C570</f>
        <v>0</v>
      </c>
    </row>
    <row r="15" s="360" customFormat="1" ht="15" spans="1:9">
      <c r="A15" s="361" t="s">
        <v>317</v>
      </c>
      <c r="B15" s="370" t="s">
        <v>308</v>
      </c>
      <c r="C15" s="371"/>
      <c r="D15" s="386"/>
      <c r="E15" s="387"/>
      <c r="F15" s="387"/>
      <c r="G15" s="388"/>
      <c r="H15" s="333"/>
      <c r="I15" s="397">
        <f>C15*списки!C571</f>
        <v>0</v>
      </c>
    </row>
    <row r="16" s="327" customFormat="1" ht="15" spans="1:9">
      <c r="A16" s="361" t="s">
        <v>318</v>
      </c>
      <c r="B16" s="370" t="s">
        <v>319</v>
      </c>
      <c r="C16" s="389">
        <f>SUM(I8:I15)</f>
        <v>0</v>
      </c>
      <c r="D16" s="390" t="s">
        <v>139</v>
      </c>
      <c r="E16" s="390"/>
      <c r="F16" s="390"/>
      <c r="G16" s="390"/>
      <c r="H16" s="333"/>
      <c r="I16" s="333"/>
    </row>
    <row r="17" spans="1:9">
      <c r="A17" s="333"/>
      <c r="B17" s="333"/>
      <c r="C17" s="333"/>
      <c r="D17" s="333"/>
      <c r="E17" s="391"/>
      <c r="F17" s="391"/>
      <c r="G17" s="391"/>
      <c r="H17" s="333"/>
      <c r="I17" s="333"/>
    </row>
    <row r="18" s="327" customFormat="1" ht="58.9" customHeight="1" spans="1:9">
      <c r="A18" s="357" t="s">
        <v>320</v>
      </c>
      <c r="B18" s="339" t="s">
        <v>133</v>
      </c>
      <c r="C18" s="341"/>
      <c r="D18" s="341" t="s">
        <v>296</v>
      </c>
      <c r="E18" s="342" t="s">
        <v>297</v>
      </c>
      <c r="F18" s="342"/>
      <c r="G18" s="342"/>
      <c r="H18" s="333"/>
      <c r="I18" s="333"/>
    </row>
    <row r="19" s="360" customFormat="1" ht="34.15" customHeight="1" spans="1:9">
      <c r="A19" s="338" t="s">
        <v>321</v>
      </c>
      <c r="B19" s="370" t="s">
        <v>319</v>
      </c>
      <c r="C19" s="371"/>
      <c r="D19" s="392" t="s">
        <v>322</v>
      </c>
      <c r="E19" s="393"/>
      <c r="F19" s="393"/>
      <c r="G19" s="394"/>
      <c r="H19" s="333"/>
      <c r="I19" s="397">
        <f>C19</f>
        <v>0</v>
      </c>
    </row>
    <row r="20" spans="1:9">
      <c r="A20" s="333"/>
      <c r="B20" s="333"/>
      <c r="C20" s="333"/>
      <c r="D20" s="333"/>
      <c r="E20" s="391"/>
      <c r="F20" s="391"/>
      <c r="G20" s="391"/>
      <c r="H20" s="333"/>
      <c r="I20" s="333"/>
    </row>
    <row r="21" spans="1:9">
      <c r="A21" s="350" t="s">
        <v>323</v>
      </c>
      <c r="B21" s="351" t="str">
        <f>IF(OR(AND(B4="да",SUM(C8:C15)&gt;0),AND(B4="нет")),"Готово","Заполните данные")</f>
        <v>Готово</v>
      </c>
      <c r="C21" s="333"/>
      <c r="D21" s="333"/>
      <c r="E21" s="333"/>
      <c r="F21" s="333"/>
      <c r="G21" s="333"/>
      <c r="H21" s="333"/>
      <c r="I21" s="333"/>
    </row>
    <row r="22" spans="1:9">
      <c r="A22" s="350" t="s">
        <v>324</v>
      </c>
      <c r="B22" s="351" t="str">
        <f>IF(OR(AND(B18="да",C19&gt;0),AND(B18="нет")),"Готово","Заполните данные")</f>
        <v>Готово</v>
      </c>
      <c r="C22" s="333"/>
      <c r="D22" s="333"/>
      <c r="E22" s="333"/>
      <c r="F22" s="333"/>
      <c r="G22" s="333"/>
      <c r="H22" s="333"/>
      <c r="I22" s="333"/>
    </row>
  </sheetData>
  <sheetProtection algorithmName="SHA-512" hashValue="lpbyzVSEBHT1bPzkD3AgN7hRqt2muo16DMii1IdbyV0JK/wtEUkJNnsMwd86oYV6Hgn0MUSd2tQOcRtE8i3x/w==" saltValue="9yBafbJFpPcxTSn6MGlx7g==" spinCount="100000" sheet="1" objects="1" scenarios="1"/>
  <mergeCells count="11">
    <mergeCell ref="E3:G3"/>
    <mergeCell ref="E4:G4"/>
    <mergeCell ref="E5:G5"/>
    <mergeCell ref="A6:C6"/>
    <mergeCell ref="E7:G7"/>
    <mergeCell ref="D16:G16"/>
    <mergeCell ref="E18:G18"/>
    <mergeCell ref="D19:G19"/>
    <mergeCell ref="D8:D9"/>
    <mergeCell ref="D10:G15"/>
    <mergeCell ref="E8:G9"/>
  </mergeCells>
  <conditionalFormatting sqref="B4">
    <cfRule type="cellIs" dxfId="3" priority="14" operator="equal">
      <formula>"Пожалуйста, выберите…"</formula>
    </cfRule>
  </conditionalFormatting>
  <conditionalFormatting sqref="B16">
    <cfRule type="expression" dxfId="6" priority="6">
      <formula>$B$4="Пожалуйста, выберите…"</formula>
    </cfRule>
    <cfRule type="expression" dxfId="6" priority="7">
      <formula>$B$4="нет"</formula>
    </cfRule>
  </conditionalFormatting>
  <conditionalFormatting sqref="C16">
    <cfRule type="expression" dxfId="6" priority="4">
      <formula>$B$4="Пожалуйста, выберите…"</formula>
    </cfRule>
    <cfRule type="expression" dxfId="6" priority="5">
      <formula>$B$4="нет"</formula>
    </cfRule>
  </conditionalFormatting>
  <conditionalFormatting sqref="B18">
    <cfRule type="cellIs" dxfId="3" priority="1" operator="equal">
      <formula>"Пожалуйста, выберите…"</formula>
    </cfRule>
  </conditionalFormatting>
  <conditionalFormatting sqref="B19:C19">
    <cfRule type="expression" dxfId="6" priority="8">
      <formula>$B$18="Пожалуйста, выберите…"</formula>
    </cfRule>
    <cfRule type="expression" dxfId="6" priority="9">
      <formula>$B$18="нет"</formula>
    </cfRule>
  </conditionalFormatting>
  <conditionalFormatting sqref="B21">
    <cfRule type="containsText" dxfId="1" priority="11" operator="between" text="Готово">
      <formula>NOT(ISERROR(SEARCH("Готово",B21)))</formula>
    </cfRule>
    <cfRule type="containsText" dxfId="4" priority="12" operator="between" text="Заполните данные">
      <formula>NOT(ISERROR(SEARCH("Заполните данные",B21)))</formula>
    </cfRule>
  </conditionalFormatting>
  <conditionalFormatting sqref="B22">
    <cfRule type="containsText" dxfId="1" priority="2" operator="between" text="Готово">
      <formula>NOT(ISERROR(SEARCH("Готово",B22)))</formula>
    </cfRule>
    <cfRule type="containsText" dxfId="4" priority="3" operator="between" text="Заполните данные">
      <formula>NOT(ISERROR(SEARCH("Заполните данные",B22)))</formula>
    </cfRule>
  </conditionalFormatting>
  <conditionalFormatting sqref="B5;B8:C15">
    <cfRule type="expression" dxfId="6" priority="10">
      <formula>$B$4="Пожалуйста, выберите…"</formula>
    </cfRule>
    <cfRule type="expression" dxfId="6" priority="13">
      <formula>$B$4="нет"</formula>
    </cfRule>
  </conditionalFormatting>
  <dataValidations count="2">
    <dataValidation type="list" allowBlank="1" showInputMessage="1" showErrorMessage="1" sqref="B4 B18">
      <formula1>danet</formula1>
    </dataValidation>
    <dataValidation type="decimal" operator="between" allowBlank="1" showInputMessage="1" showErrorMessage="1" sqref="B5 C19 C8:C16">
      <formula1>0</formula1>
      <formula2>1000000</formula2>
    </dataValidation>
  </dataValidations>
  <hyperlinks>
    <hyperlink ref="C1" location="'0.Результаты расчета'!A1" display="Перейти к результатам расчета потенциала и ЦУС"/>
  </hyperlinks>
  <pageMargins left="0.7" right="0.7" top="0.75" bottom="0.75" header="0.3" footer="0.3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Лист33"/>
  <dimension ref="A1:J332"/>
  <sheetViews>
    <sheetView zoomScale="80" zoomScaleNormal="80" topLeftCell="A306" workbookViewId="0">
      <selection activeCell="B4" sqref="B4"/>
    </sheetView>
  </sheetViews>
  <sheetFormatPr defaultColWidth="0" defaultRowHeight="14.25" zeroHeight="1"/>
  <cols>
    <col min="1" max="1" width="52.4571428571429" style="329" customWidth="1"/>
    <col min="2" max="2" width="24.4571428571429" style="329" customWidth="1"/>
    <col min="3" max="3" width="15.7238095238095" style="329" customWidth="1"/>
    <col min="4" max="4" width="18.4571428571429" style="329" customWidth="1"/>
    <col min="5" max="5" width="15.2666666666667" style="329" customWidth="1"/>
    <col min="6" max="6" width="19.1809523809524" style="329" customWidth="1"/>
    <col min="7" max="7" width="14.1809523809524" style="329" customWidth="1"/>
    <col min="8" max="8" width="13.7238095238095" style="329" customWidth="1"/>
    <col min="9" max="9" width="3.72380952380952" style="329" customWidth="1"/>
    <col min="10" max="16383" width="6.72380952380952" style="329" hidden="1"/>
    <col min="16384" max="16384" width="6.26666666666667" style="329" hidden="1"/>
  </cols>
  <sheetData>
    <row r="1" s="326" customFormat="1" ht="31.15" customHeight="1" spans="1:9">
      <c r="A1" s="330" t="s">
        <v>325</v>
      </c>
      <c r="B1" s="331"/>
      <c r="C1" s="332" t="s">
        <v>102</v>
      </c>
      <c r="D1" s="331"/>
      <c r="E1" s="331"/>
      <c r="F1" s="331"/>
      <c r="G1" s="331"/>
      <c r="H1" s="331"/>
      <c r="I1" s="331"/>
    </row>
    <row r="2" s="327" customFormat="1" ht="19.15" customHeight="1" spans="1:10">
      <c r="A2" s="333"/>
      <c r="B2" s="333"/>
      <c r="C2" s="333"/>
      <c r="D2" s="334" t="s">
        <v>103</v>
      </c>
      <c r="E2" s="334"/>
      <c r="F2" s="333"/>
      <c r="G2" s="333"/>
      <c r="H2" s="333"/>
      <c r="I2" s="333"/>
      <c r="J2" s="333"/>
    </row>
    <row r="3" s="327" customFormat="1" ht="42.75" spans="1:10">
      <c r="A3" s="335" t="s">
        <v>104</v>
      </c>
      <c r="B3" s="336" t="s">
        <v>105</v>
      </c>
      <c r="C3" s="335" t="s">
        <v>106</v>
      </c>
      <c r="D3" s="337" t="s">
        <v>107</v>
      </c>
      <c r="E3" s="335" t="s">
        <v>108</v>
      </c>
      <c r="F3" s="335"/>
      <c r="G3" s="335"/>
      <c r="H3" s="333"/>
      <c r="I3" s="333"/>
      <c r="J3" s="333"/>
    </row>
    <row r="4" s="327" customFormat="1" ht="36" customHeight="1" spans="1:9">
      <c r="A4" s="338" t="s">
        <v>326</v>
      </c>
      <c r="B4" s="339" t="s">
        <v>133</v>
      </c>
      <c r="C4" s="340"/>
      <c r="D4" s="341" t="s">
        <v>327</v>
      </c>
      <c r="E4" s="342" t="s">
        <v>297</v>
      </c>
      <c r="F4" s="342"/>
      <c r="G4" s="342"/>
      <c r="H4" s="333"/>
      <c r="I4" s="333"/>
    </row>
    <row r="5" s="327" customFormat="1" spans="1:10">
      <c r="A5" s="333"/>
      <c r="B5" s="333"/>
      <c r="C5" s="333"/>
      <c r="D5" s="333"/>
      <c r="E5" s="334"/>
      <c r="F5" s="333"/>
      <c r="G5" s="333"/>
      <c r="H5" s="333"/>
      <c r="I5" s="333"/>
      <c r="J5" s="333"/>
    </row>
    <row r="6" spans="1:10">
      <c r="A6" s="343" t="s">
        <v>328</v>
      </c>
      <c r="B6" s="344"/>
      <c r="C6" s="345"/>
      <c r="D6" s="333"/>
      <c r="E6" s="333"/>
      <c r="F6" s="333"/>
      <c r="G6" s="333"/>
      <c r="H6" s="333"/>
      <c r="I6" s="333"/>
      <c r="J6" s="333"/>
    </row>
    <row r="7" ht="114" spans="1:10">
      <c r="A7" s="335" t="s">
        <v>302</v>
      </c>
      <c r="B7" s="335" t="s">
        <v>303</v>
      </c>
      <c r="C7" s="335" t="s">
        <v>304</v>
      </c>
      <c r="D7" s="335" t="s">
        <v>305</v>
      </c>
      <c r="E7" s="335" t="s">
        <v>108</v>
      </c>
      <c r="F7" s="335"/>
      <c r="G7" s="335"/>
      <c r="H7" s="333"/>
      <c r="I7" s="333"/>
      <c r="J7" s="357" t="s">
        <v>306</v>
      </c>
    </row>
    <row r="8" ht="28.5" customHeight="1" spans="1:10">
      <c r="A8" s="346" t="s">
        <v>329</v>
      </c>
      <c r="B8" s="347" t="s">
        <v>308</v>
      </c>
      <c r="C8" s="348"/>
      <c r="D8" s="341" t="s">
        <v>330</v>
      </c>
      <c r="E8" s="342" t="s">
        <v>297</v>
      </c>
      <c r="F8" s="342"/>
      <c r="G8" s="342"/>
      <c r="H8" s="333"/>
      <c r="I8" s="358"/>
      <c r="J8" s="359">
        <f>C8*списки!C554</f>
        <v>0</v>
      </c>
    </row>
    <row r="9" spans="1:10">
      <c r="A9" s="349" t="s">
        <v>331</v>
      </c>
      <c r="B9" s="347" t="s">
        <v>332</v>
      </c>
      <c r="C9" s="348"/>
      <c r="D9" s="333"/>
      <c r="E9" s="333"/>
      <c r="F9" s="333"/>
      <c r="G9" s="333"/>
      <c r="H9" s="333"/>
      <c r="I9" s="333"/>
      <c r="J9" s="359">
        <f>C9*списки!C555</f>
        <v>0</v>
      </c>
    </row>
    <row r="10" spans="1:10">
      <c r="A10" s="349" t="s">
        <v>333</v>
      </c>
      <c r="B10" s="347" t="s">
        <v>308</v>
      </c>
      <c r="C10" s="348"/>
      <c r="D10" s="333"/>
      <c r="E10" s="333"/>
      <c r="F10" s="333"/>
      <c r="G10" s="333"/>
      <c r="H10" s="333"/>
      <c r="I10" s="333"/>
      <c r="J10" s="359">
        <f>C10*списки!C556</f>
        <v>0</v>
      </c>
    </row>
    <row r="11" ht="15.75" customHeight="1" spans="1:10">
      <c r="A11" s="349" t="s">
        <v>334</v>
      </c>
      <c r="B11" s="347" t="s">
        <v>308</v>
      </c>
      <c r="C11" s="348"/>
      <c r="D11" s="333"/>
      <c r="E11" s="333"/>
      <c r="F11" s="333"/>
      <c r="G11" s="333"/>
      <c r="H11" s="333"/>
      <c r="I11" s="333"/>
      <c r="J11" s="359">
        <f>C11*списки!C557</f>
        <v>0</v>
      </c>
    </row>
    <row r="12" spans="1:10">
      <c r="A12" s="349" t="s">
        <v>335</v>
      </c>
      <c r="B12" s="347" t="s">
        <v>308</v>
      </c>
      <c r="C12" s="348"/>
      <c r="D12" s="333"/>
      <c r="E12" s="333"/>
      <c r="F12" s="333"/>
      <c r="G12" s="333"/>
      <c r="H12" s="333"/>
      <c r="I12" s="333"/>
      <c r="J12" s="359">
        <f>C12*списки!C558</f>
        <v>0</v>
      </c>
    </row>
    <row r="13" spans="1:10">
      <c r="A13" s="349" t="s">
        <v>166</v>
      </c>
      <c r="B13" s="347" t="s">
        <v>336</v>
      </c>
      <c r="C13" s="348"/>
      <c r="D13" s="333"/>
      <c r="E13" s="333"/>
      <c r="F13" s="333"/>
      <c r="G13" s="333"/>
      <c r="H13" s="333"/>
      <c r="I13" s="333"/>
      <c r="J13" s="359">
        <f>C13*списки!C559</f>
        <v>0</v>
      </c>
    </row>
    <row r="14" spans="1:10">
      <c r="A14" s="349" t="s">
        <v>337</v>
      </c>
      <c r="B14" s="347" t="s">
        <v>308</v>
      </c>
      <c r="C14" s="348"/>
      <c r="D14" s="333"/>
      <c r="E14" s="333"/>
      <c r="F14" s="333"/>
      <c r="G14" s="333"/>
      <c r="H14" s="333"/>
      <c r="I14" s="333"/>
      <c r="J14" s="359">
        <f>C14*списки!C560</f>
        <v>0</v>
      </c>
    </row>
    <row r="15" s="327" customFormat="1" spans="1:10">
      <c r="A15" s="333"/>
      <c r="B15" s="333"/>
      <c r="C15" s="333"/>
      <c r="D15" s="333"/>
      <c r="E15" s="334"/>
      <c r="F15" s="333"/>
      <c r="G15" s="333"/>
      <c r="H15" s="333"/>
      <c r="I15" s="333"/>
      <c r="J15" s="333"/>
    </row>
    <row r="16" s="327" customFormat="1" spans="1:10">
      <c r="A16" s="333"/>
      <c r="B16" s="333"/>
      <c r="C16" s="333"/>
      <c r="D16" s="333"/>
      <c r="E16" s="334"/>
      <c r="F16" s="333"/>
      <c r="G16" s="333"/>
      <c r="H16" s="333"/>
      <c r="I16" s="333"/>
      <c r="J16" s="333"/>
    </row>
    <row r="17" s="327" customFormat="1" ht="28.5" spans="1:10">
      <c r="A17" s="333"/>
      <c r="B17" s="350" t="s">
        <v>164</v>
      </c>
      <c r="C17" s="351" t="str">
        <f>C324</f>
        <v>Готово</v>
      </c>
      <c r="D17" s="333"/>
      <c r="E17" s="334"/>
      <c r="F17" s="333"/>
      <c r="G17" s="333"/>
      <c r="H17" s="333"/>
      <c r="I17" s="333"/>
      <c r="J17" s="333"/>
    </row>
    <row r="18" spans="1:9">
      <c r="A18" s="333"/>
      <c r="B18" s="333"/>
      <c r="C18" s="333"/>
      <c r="D18" s="333"/>
      <c r="E18" s="334"/>
      <c r="F18" s="333"/>
      <c r="G18" s="333"/>
      <c r="H18" s="333"/>
      <c r="I18" s="333"/>
    </row>
    <row r="19" s="328" customFormat="1" spans="1:10">
      <c r="A19" s="352" t="s">
        <v>338</v>
      </c>
      <c r="B19" s="352"/>
      <c r="C19" s="352"/>
      <c r="D19" s="352"/>
      <c r="E19" s="352"/>
      <c r="F19" s="352"/>
      <c r="G19" s="334"/>
      <c r="H19" s="334"/>
      <c r="I19" s="334"/>
      <c r="J19" s="334"/>
    </row>
    <row r="20" s="328" customFormat="1" spans="1:10">
      <c r="A20" s="353" t="s">
        <v>339</v>
      </c>
      <c r="B20" s="353"/>
      <c r="C20" s="353"/>
      <c r="D20" s="353"/>
      <c r="E20" s="353"/>
      <c r="F20" s="353"/>
      <c r="G20" s="334"/>
      <c r="H20" s="334"/>
      <c r="I20" s="334"/>
      <c r="J20" s="334"/>
    </row>
    <row r="21" s="328" customFormat="1" ht="23.25" customHeight="1" spans="1:10">
      <c r="A21" s="354" t="s">
        <v>340</v>
      </c>
      <c r="B21" s="354"/>
      <c r="C21" s="354"/>
      <c r="D21" s="354" t="s">
        <v>341</v>
      </c>
      <c r="E21" s="354"/>
      <c r="F21" s="354"/>
      <c r="G21" s="334"/>
      <c r="H21" s="334"/>
      <c r="I21" s="334"/>
      <c r="J21" s="334"/>
    </row>
    <row r="22" ht="71.25" spans="1:10">
      <c r="A22" s="354" t="s">
        <v>342</v>
      </c>
      <c r="B22" s="354" t="s">
        <v>343</v>
      </c>
      <c r="C22" s="354" t="s">
        <v>344</v>
      </c>
      <c r="D22" s="354" t="s">
        <v>342</v>
      </c>
      <c r="E22" s="354" t="s">
        <v>343</v>
      </c>
      <c r="F22" s="354" t="s">
        <v>344</v>
      </c>
      <c r="G22" s="333"/>
      <c r="H22" s="333"/>
      <c r="I22" s="333"/>
      <c r="J22" s="333"/>
    </row>
    <row r="23" spans="1:10">
      <c r="A23" s="355">
        <v>1</v>
      </c>
      <c r="B23" s="356"/>
      <c r="C23" s="356"/>
      <c r="D23" s="355">
        <v>1</v>
      </c>
      <c r="E23" s="356"/>
      <c r="F23" s="356"/>
      <c r="G23" s="333"/>
      <c r="H23" s="333"/>
      <c r="I23" s="333"/>
      <c r="J23" s="333"/>
    </row>
    <row r="24" spans="1:10">
      <c r="A24" s="355">
        <v>2</v>
      </c>
      <c r="B24" s="356"/>
      <c r="C24" s="356"/>
      <c r="D24" s="355">
        <v>2</v>
      </c>
      <c r="E24" s="356"/>
      <c r="F24" s="356"/>
      <c r="G24" s="333"/>
      <c r="H24" s="333"/>
      <c r="I24" s="333"/>
      <c r="J24" s="333"/>
    </row>
    <row r="25" spans="1:10">
      <c r="A25" s="355">
        <v>3</v>
      </c>
      <c r="B25" s="356"/>
      <c r="C25" s="356"/>
      <c r="D25" s="355">
        <v>3</v>
      </c>
      <c r="E25" s="356"/>
      <c r="F25" s="356"/>
      <c r="G25" s="333"/>
      <c r="H25" s="333"/>
      <c r="I25" s="333"/>
      <c r="J25" s="333"/>
    </row>
    <row r="26" spans="1:10">
      <c r="A26" s="355">
        <v>4</v>
      </c>
      <c r="B26" s="356"/>
      <c r="C26" s="356"/>
      <c r="D26" s="355">
        <v>4</v>
      </c>
      <c r="E26" s="356"/>
      <c r="F26" s="356"/>
      <c r="G26" s="333"/>
      <c r="H26" s="333"/>
      <c r="I26" s="333"/>
      <c r="J26" s="333"/>
    </row>
    <row r="27" spans="1:10">
      <c r="A27" s="355">
        <v>5</v>
      </c>
      <c r="B27" s="356"/>
      <c r="C27" s="356"/>
      <c r="D27" s="355">
        <v>5</v>
      </c>
      <c r="E27" s="356"/>
      <c r="F27" s="356"/>
      <c r="G27" s="333"/>
      <c r="H27" s="333"/>
      <c r="I27" s="333"/>
      <c r="J27" s="333"/>
    </row>
    <row r="28" spans="1:10">
      <c r="A28" s="355">
        <v>6</v>
      </c>
      <c r="B28" s="356"/>
      <c r="C28" s="356"/>
      <c r="D28" s="355">
        <v>6</v>
      </c>
      <c r="E28" s="356"/>
      <c r="F28" s="356"/>
      <c r="G28" s="333"/>
      <c r="H28" s="333"/>
      <c r="I28" s="333"/>
      <c r="J28" s="333"/>
    </row>
    <row r="29" spans="1:10">
      <c r="A29" s="355">
        <v>7</v>
      </c>
      <c r="B29" s="356"/>
      <c r="C29" s="356"/>
      <c r="D29" s="355">
        <v>7</v>
      </c>
      <c r="E29" s="356"/>
      <c r="F29" s="356"/>
      <c r="G29" s="333"/>
      <c r="H29" s="333"/>
      <c r="I29" s="333"/>
      <c r="J29" s="333"/>
    </row>
    <row r="30" spans="1:10">
      <c r="A30" s="355">
        <v>8</v>
      </c>
      <c r="B30" s="356"/>
      <c r="C30" s="356"/>
      <c r="D30" s="355">
        <v>8</v>
      </c>
      <c r="E30" s="356"/>
      <c r="F30" s="356"/>
      <c r="G30" s="333"/>
      <c r="H30" s="333"/>
      <c r="I30" s="333"/>
      <c r="J30" s="333"/>
    </row>
    <row r="31" spans="1:10">
      <c r="A31" s="355">
        <v>9</v>
      </c>
      <c r="B31" s="356"/>
      <c r="C31" s="356"/>
      <c r="D31" s="355">
        <v>9</v>
      </c>
      <c r="E31" s="356"/>
      <c r="F31" s="356"/>
      <c r="G31" s="333"/>
      <c r="H31" s="333"/>
      <c r="I31" s="333"/>
      <c r="J31" s="333"/>
    </row>
    <row r="32" spans="1:10">
      <c r="A32" s="355">
        <v>10</v>
      </c>
      <c r="B32" s="356"/>
      <c r="C32" s="356"/>
      <c r="D32" s="355">
        <v>10</v>
      </c>
      <c r="E32" s="356"/>
      <c r="F32" s="356"/>
      <c r="G32" s="333"/>
      <c r="H32" s="333"/>
      <c r="I32" s="333"/>
      <c r="J32" s="333"/>
    </row>
    <row r="33" spans="1:10">
      <c r="A33" s="355">
        <v>11</v>
      </c>
      <c r="B33" s="356"/>
      <c r="C33" s="356"/>
      <c r="D33" s="355">
        <v>11</v>
      </c>
      <c r="E33" s="356"/>
      <c r="F33" s="356"/>
      <c r="G33" s="333"/>
      <c r="H33" s="333"/>
      <c r="I33" s="333"/>
      <c r="J33" s="333"/>
    </row>
    <row r="34" spans="1:10">
      <c r="A34" s="355">
        <v>12</v>
      </c>
      <c r="B34" s="356"/>
      <c r="C34" s="356"/>
      <c r="D34" s="355">
        <v>12</v>
      </c>
      <c r="E34" s="356"/>
      <c r="F34" s="356"/>
      <c r="G34" s="333"/>
      <c r="H34" s="333"/>
      <c r="I34" s="333"/>
      <c r="J34" s="333"/>
    </row>
    <row r="35" spans="1:10">
      <c r="A35" s="355">
        <v>13</v>
      </c>
      <c r="B35" s="356"/>
      <c r="C35" s="356"/>
      <c r="D35" s="355">
        <v>13</v>
      </c>
      <c r="E35" s="356"/>
      <c r="F35" s="356"/>
      <c r="G35" s="333"/>
      <c r="H35" s="333"/>
      <c r="I35" s="333"/>
      <c r="J35" s="333"/>
    </row>
    <row r="36" spans="1:10">
      <c r="A36" s="355">
        <v>14</v>
      </c>
      <c r="B36" s="356"/>
      <c r="C36" s="356"/>
      <c r="D36" s="355">
        <v>14</v>
      </c>
      <c r="E36" s="356"/>
      <c r="F36" s="356"/>
      <c r="G36" s="333"/>
      <c r="H36" s="333"/>
      <c r="I36" s="333"/>
      <c r="J36" s="333"/>
    </row>
    <row r="37" spans="1:10">
      <c r="A37" s="355">
        <v>15</v>
      </c>
      <c r="B37" s="356"/>
      <c r="C37" s="356"/>
      <c r="D37" s="355">
        <v>15</v>
      </c>
      <c r="E37" s="356"/>
      <c r="F37" s="356"/>
      <c r="G37" s="333"/>
      <c r="H37" s="333"/>
      <c r="I37" s="333"/>
      <c r="J37" s="333"/>
    </row>
    <row r="38" spans="1:10">
      <c r="A38" s="355">
        <v>16</v>
      </c>
      <c r="B38" s="356"/>
      <c r="C38" s="356"/>
      <c r="D38" s="355">
        <v>16</v>
      </c>
      <c r="E38" s="356"/>
      <c r="F38" s="356"/>
      <c r="G38" s="333"/>
      <c r="H38" s="333"/>
      <c r="I38" s="333"/>
      <c r="J38" s="333"/>
    </row>
    <row r="39" spans="1:10">
      <c r="A39" s="355">
        <v>17</v>
      </c>
      <c r="B39" s="356"/>
      <c r="C39" s="356"/>
      <c r="D39" s="355">
        <v>17</v>
      </c>
      <c r="E39" s="356"/>
      <c r="F39" s="356"/>
      <c r="G39" s="333"/>
      <c r="H39" s="333"/>
      <c r="I39" s="333"/>
      <c r="J39" s="333"/>
    </row>
    <row r="40" spans="1:10">
      <c r="A40" s="355">
        <v>18</v>
      </c>
      <c r="B40" s="356"/>
      <c r="C40" s="356"/>
      <c r="D40" s="355">
        <v>18</v>
      </c>
      <c r="E40" s="356"/>
      <c r="F40" s="356"/>
      <c r="G40" s="333"/>
      <c r="H40" s="333"/>
      <c r="I40" s="333"/>
      <c r="J40" s="333"/>
    </row>
    <row r="41" spans="1:10">
      <c r="A41" s="355">
        <v>19</v>
      </c>
      <c r="B41" s="356"/>
      <c r="C41" s="356"/>
      <c r="D41" s="355">
        <v>19</v>
      </c>
      <c r="E41" s="356"/>
      <c r="F41" s="356"/>
      <c r="G41" s="333"/>
      <c r="H41" s="333"/>
      <c r="I41" s="333"/>
      <c r="J41" s="333"/>
    </row>
    <row r="42" spans="1:10">
      <c r="A42" s="355">
        <v>20</v>
      </c>
      <c r="B42" s="356"/>
      <c r="C42" s="356"/>
      <c r="D42" s="355">
        <v>20</v>
      </c>
      <c r="E42" s="356"/>
      <c r="F42" s="356"/>
      <c r="G42" s="333"/>
      <c r="H42" s="333"/>
      <c r="I42" s="333"/>
      <c r="J42" s="333"/>
    </row>
    <row r="43" spans="1:10">
      <c r="A43" s="355">
        <v>21</v>
      </c>
      <c r="B43" s="356"/>
      <c r="C43" s="356"/>
      <c r="D43" s="355">
        <v>21</v>
      </c>
      <c r="E43" s="356"/>
      <c r="F43" s="356"/>
      <c r="G43" s="333"/>
      <c r="H43" s="333"/>
      <c r="I43" s="333"/>
      <c r="J43" s="333"/>
    </row>
    <row r="44" spans="1:10">
      <c r="A44" s="355">
        <v>22</v>
      </c>
      <c r="B44" s="356"/>
      <c r="C44" s="356"/>
      <c r="D44" s="355">
        <v>22</v>
      </c>
      <c r="E44" s="356"/>
      <c r="F44" s="356"/>
      <c r="G44" s="333"/>
      <c r="H44" s="333"/>
      <c r="I44" s="333"/>
      <c r="J44" s="333"/>
    </row>
    <row r="45" spans="1:10">
      <c r="A45" s="355">
        <v>23</v>
      </c>
      <c r="B45" s="356"/>
      <c r="C45" s="356"/>
      <c r="D45" s="355">
        <v>23</v>
      </c>
      <c r="E45" s="356"/>
      <c r="F45" s="356"/>
      <c r="G45" s="333"/>
      <c r="H45" s="333"/>
      <c r="I45" s="333"/>
      <c r="J45" s="333"/>
    </row>
    <row r="46" spans="1:10">
      <c r="A46" s="355">
        <v>24</v>
      </c>
      <c r="B46" s="356"/>
      <c r="C46" s="356"/>
      <c r="D46" s="355">
        <v>24</v>
      </c>
      <c r="E46" s="356"/>
      <c r="F46" s="356"/>
      <c r="G46" s="333"/>
      <c r="H46" s="333"/>
      <c r="I46" s="333"/>
      <c r="J46" s="333"/>
    </row>
    <row r="47" spans="1:10">
      <c r="A47" s="355">
        <v>25</v>
      </c>
      <c r="B47" s="356"/>
      <c r="C47" s="356"/>
      <c r="D47" s="355">
        <v>25</v>
      </c>
      <c r="E47" s="356"/>
      <c r="F47" s="356"/>
      <c r="G47" s="333"/>
      <c r="H47" s="333"/>
      <c r="I47" s="333"/>
      <c r="J47" s="333"/>
    </row>
    <row r="48" spans="1:10">
      <c r="A48" s="355">
        <v>26</v>
      </c>
      <c r="B48" s="356"/>
      <c r="C48" s="356"/>
      <c r="D48" s="355">
        <v>26</v>
      </c>
      <c r="E48" s="356"/>
      <c r="F48" s="356"/>
      <c r="G48" s="333"/>
      <c r="H48" s="333"/>
      <c r="I48" s="333"/>
      <c r="J48" s="333"/>
    </row>
    <row r="49" spans="1:10">
      <c r="A49" s="355">
        <v>27</v>
      </c>
      <c r="B49" s="356"/>
      <c r="C49" s="356"/>
      <c r="D49" s="355">
        <v>27</v>
      </c>
      <c r="E49" s="356"/>
      <c r="F49" s="356"/>
      <c r="G49" s="333"/>
      <c r="H49" s="333"/>
      <c r="I49" s="333"/>
      <c r="J49" s="333"/>
    </row>
    <row r="50" spans="1:10">
      <c r="A50" s="355">
        <v>28</v>
      </c>
      <c r="B50" s="356"/>
      <c r="C50" s="356"/>
      <c r="D50" s="355">
        <v>28</v>
      </c>
      <c r="E50" s="356"/>
      <c r="F50" s="356"/>
      <c r="G50" s="333"/>
      <c r="H50" s="333"/>
      <c r="I50" s="333"/>
      <c r="J50" s="333"/>
    </row>
    <row r="51" spans="1:10">
      <c r="A51" s="355">
        <v>29</v>
      </c>
      <c r="B51" s="356"/>
      <c r="C51" s="356"/>
      <c r="D51" s="355">
        <v>29</v>
      </c>
      <c r="E51" s="356"/>
      <c r="F51" s="356"/>
      <c r="G51" s="333"/>
      <c r="H51" s="333"/>
      <c r="I51" s="333"/>
      <c r="J51" s="333"/>
    </row>
    <row r="52" spans="1:10">
      <c r="A52" s="355">
        <v>30</v>
      </c>
      <c r="B52" s="356"/>
      <c r="C52" s="356"/>
      <c r="D52" s="355">
        <v>30</v>
      </c>
      <c r="E52" s="356"/>
      <c r="F52" s="356"/>
      <c r="G52" s="333"/>
      <c r="H52" s="333"/>
      <c r="I52" s="333"/>
      <c r="J52" s="333"/>
    </row>
    <row r="53" spans="1:10">
      <c r="A53" s="355">
        <v>31</v>
      </c>
      <c r="B53" s="356"/>
      <c r="C53" s="356"/>
      <c r="D53" s="355">
        <v>31</v>
      </c>
      <c r="E53" s="356"/>
      <c r="F53" s="356"/>
      <c r="G53" s="333"/>
      <c r="H53" s="333"/>
      <c r="I53" s="333"/>
      <c r="J53" s="333"/>
    </row>
    <row r="54" spans="1:10">
      <c r="A54" s="355">
        <v>32</v>
      </c>
      <c r="B54" s="356"/>
      <c r="C54" s="356"/>
      <c r="D54" s="355">
        <v>32</v>
      </c>
      <c r="E54" s="356"/>
      <c r="F54" s="356"/>
      <c r="G54" s="333"/>
      <c r="H54" s="333"/>
      <c r="I54" s="333"/>
      <c r="J54" s="333"/>
    </row>
    <row r="55" spans="1:10">
      <c r="A55" s="355">
        <v>33</v>
      </c>
      <c r="B55" s="356"/>
      <c r="C55" s="356"/>
      <c r="D55" s="355">
        <v>33</v>
      </c>
      <c r="E55" s="356"/>
      <c r="F55" s="356"/>
      <c r="G55" s="333"/>
      <c r="H55" s="333"/>
      <c r="I55" s="333"/>
      <c r="J55" s="333"/>
    </row>
    <row r="56" spans="1:10">
      <c r="A56" s="355">
        <v>34</v>
      </c>
      <c r="B56" s="356"/>
      <c r="C56" s="356"/>
      <c r="D56" s="355">
        <v>34</v>
      </c>
      <c r="E56" s="356"/>
      <c r="F56" s="356"/>
      <c r="G56" s="333"/>
      <c r="H56" s="333"/>
      <c r="I56" s="333"/>
      <c r="J56" s="333"/>
    </row>
    <row r="57" spans="1:10">
      <c r="A57" s="355">
        <v>35</v>
      </c>
      <c r="B57" s="356"/>
      <c r="C57" s="356"/>
      <c r="D57" s="355">
        <v>35</v>
      </c>
      <c r="E57" s="356"/>
      <c r="F57" s="356"/>
      <c r="G57" s="333"/>
      <c r="H57" s="333"/>
      <c r="I57" s="333"/>
      <c r="J57" s="333"/>
    </row>
    <row r="58" spans="1:10">
      <c r="A58" s="355">
        <v>36</v>
      </c>
      <c r="B58" s="356"/>
      <c r="C58" s="356"/>
      <c r="D58" s="355">
        <v>36</v>
      </c>
      <c r="E58" s="356"/>
      <c r="F58" s="356"/>
      <c r="G58" s="333"/>
      <c r="H58" s="333"/>
      <c r="I58" s="333"/>
      <c r="J58" s="333"/>
    </row>
    <row r="59" spans="1:10">
      <c r="A59" s="355">
        <v>37</v>
      </c>
      <c r="B59" s="356"/>
      <c r="C59" s="356"/>
      <c r="D59" s="355">
        <v>37</v>
      </c>
      <c r="E59" s="356"/>
      <c r="F59" s="356"/>
      <c r="G59" s="333"/>
      <c r="H59" s="333"/>
      <c r="I59" s="333"/>
      <c r="J59" s="333"/>
    </row>
    <row r="60" spans="1:10">
      <c r="A60" s="355">
        <v>38</v>
      </c>
      <c r="B60" s="356"/>
      <c r="C60" s="356"/>
      <c r="D60" s="355">
        <v>38</v>
      </c>
      <c r="E60" s="356"/>
      <c r="F60" s="356"/>
      <c r="G60" s="333"/>
      <c r="H60" s="333"/>
      <c r="I60" s="333"/>
      <c r="J60" s="333"/>
    </row>
    <row r="61" spans="1:10">
      <c r="A61" s="355">
        <v>39</v>
      </c>
      <c r="B61" s="356"/>
      <c r="C61" s="356"/>
      <c r="D61" s="355">
        <v>39</v>
      </c>
      <c r="E61" s="356"/>
      <c r="F61" s="356"/>
      <c r="G61" s="333"/>
      <c r="H61" s="333"/>
      <c r="I61" s="333"/>
      <c r="J61" s="333"/>
    </row>
    <row r="62" spans="1:10">
      <c r="A62" s="355">
        <v>40</v>
      </c>
      <c r="B62" s="356"/>
      <c r="C62" s="356"/>
      <c r="D62" s="355">
        <v>40</v>
      </c>
      <c r="E62" s="356"/>
      <c r="F62" s="356"/>
      <c r="G62" s="333"/>
      <c r="H62" s="333"/>
      <c r="I62" s="333"/>
      <c r="J62" s="333"/>
    </row>
    <row r="63" spans="1:10">
      <c r="A63" s="355">
        <v>41</v>
      </c>
      <c r="B63" s="356"/>
      <c r="C63" s="356"/>
      <c r="D63" s="355">
        <v>41</v>
      </c>
      <c r="E63" s="356"/>
      <c r="F63" s="356"/>
      <c r="G63" s="333"/>
      <c r="H63" s="333"/>
      <c r="I63" s="333"/>
      <c r="J63" s="333"/>
    </row>
    <row r="64" spans="1:10">
      <c r="A64" s="355">
        <v>42</v>
      </c>
      <c r="B64" s="356"/>
      <c r="C64" s="356"/>
      <c r="D64" s="355">
        <v>42</v>
      </c>
      <c r="E64" s="356"/>
      <c r="F64" s="356"/>
      <c r="G64" s="333"/>
      <c r="H64" s="333"/>
      <c r="I64" s="333"/>
      <c r="J64" s="333"/>
    </row>
    <row r="65" spans="1:10">
      <c r="A65" s="355">
        <v>43</v>
      </c>
      <c r="B65" s="356"/>
      <c r="C65" s="356"/>
      <c r="D65" s="355">
        <v>43</v>
      </c>
      <c r="E65" s="356"/>
      <c r="F65" s="356"/>
      <c r="G65" s="333"/>
      <c r="H65" s="333"/>
      <c r="I65" s="333"/>
      <c r="J65" s="333"/>
    </row>
    <row r="66" spans="1:10">
      <c r="A66" s="355">
        <v>44</v>
      </c>
      <c r="B66" s="356"/>
      <c r="C66" s="356"/>
      <c r="D66" s="355">
        <v>44</v>
      </c>
      <c r="E66" s="356"/>
      <c r="F66" s="356"/>
      <c r="G66" s="333"/>
      <c r="H66" s="333"/>
      <c r="I66" s="333"/>
      <c r="J66" s="333"/>
    </row>
    <row r="67" spans="1:10">
      <c r="A67" s="355">
        <v>45</v>
      </c>
      <c r="B67" s="356"/>
      <c r="C67" s="356"/>
      <c r="D67" s="355">
        <v>45</v>
      </c>
      <c r="E67" s="356"/>
      <c r="F67" s="356"/>
      <c r="G67" s="333"/>
      <c r="H67" s="333"/>
      <c r="I67" s="333"/>
      <c r="J67" s="333"/>
    </row>
    <row r="68" spans="1:10">
      <c r="A68" s="355">
        <v>46</v>
      </c>
      <c r="B68" s="356"/>
      <c r="C68" s="356"/>
      <c r="D68" s="355">
        <v>46</v>
      </c>
      <c r="E68" s="356"/>
      <c r="F68" s="356"/>
      <c r="G68" s="333"/>
      <c r="H68" s="333"/>
      <c r="I68" s="333"/>
      <c r="J68" s="333"/>
    </row>
    <row r="69" spans="1:10">
      <c r="A69" s="355">
        <v>47</v>
      </c>
      <c r="B69" s="356"/>
      <c r="C69" s="356"/>
      <c r="D69" s="355">
        <v>47</v>
      </c>
      <c r="E69" s="356"/>
      <c r="F69" s="356"/>
      <c r="G69" s="333"/>
      <c r="H69" s="333"/>
      <c r="I69" s="333"/>
      <c r="J69" s="333"/>
    </row>
    <row r="70" spans="1:10">
      <c r="A70" s="355">
        <v>48</v>
      </c>
      <c r="B70" s="356"/>
      <c r="C70" s="356"/>
      <c r="D70" s="355">
        <v>48</v>
      </c>
      <c r="E70" s="356"/>
      <c r="F70" s="356"/>
      <c r="G70" s="333"/>
      <c r="H70" s="333"/>
      <c r="I70" s="333"/>
      <c r="J70" s="333"/>
    </row>
    <row r="71" spans="1:10">
      <c r="A71" s="355">
        <v>49</v>
      </c>
      <c r="B71" s="356"/>
      <c r="C71" s="356"/>
      <c r="D71" s="355">
        <v>49</v>
      </c>
      <c r="E71" s="356"/>
      <c r="F71" s="356"/>
      <c r="G71" s="333"/>
      <c r="H71" s="333"/>
      <c r="I71" s="333"/>
      <c r="J71" s="333"/>
    </row>
    <row r="72" spans="1:10">
      <c r="A72" s="355">
        <v>50</v>
      </c>
      <c r="B72" s="356"/>
      <c r="C72" s="356"/>
      <c r="D72" s="355">
        <v>50</v>
      </c>
      <c r="E72" s="356"/>
      <c r="F72" s="356"/>
      <c r="G72" s="333"/>
      <c r="H72" s="333"/>
      <c r="I72" s="333"/>
      <c r="J72" s="333"/>
    </row>
    <row r="73" spans="1:10">
      <c r="A73" s="355">
        <v>51</v>
      </c>
      <c r="B73" s="356"/>
      <c r="C73" s="356"/>
      <c r="D73" s="355">
        <v>51</v>
      </c>
      <c r="E73" s="356"/>
      <c r="F73" s="356"/>
      <c r="G73" s="333"/>
      <c r="H73" s="333"/>
      <c r="I73" s="333"/>
      <c r="J73" s="333"/>
    </row>
    <row r="74" spans="1:10">
      <c r="A74" s="355">
        <v>52</v>
      </c>
      <c r="B74" s="356"/>
      <c r="C74" s="356"/>
      <c r="D74" s="355">
        <v>52</v>
      </c>
      <c r="E74" s="356"/>
      <c r="F74" s="356"/>
      <c r="G74" s="333"/>
      <c r="H74" s="333"/>
      <c r="I74" s="333"/>
      <c r="J74" s="333"/>
    </row>
    <row r="75" spans="1:10">
      <c r="A75" s="355">
        <v>53</v>
      </c>
      <c r="B75" s="356"/>
      <c r="C75" s="356"/>
      <c r="D75" s="355">
        <v>53</v>
      </c>
      <c r="E75" s="356"/>
      <c r="F75" s="356"/>
      <c r="G75" s="333"/>
      <c r="H75" s="333"/>
      <c r="I75" s="333"/>
      <c r="J75" s="333"/>
    </row>
    <row r="76" spans="1:10">
      <c r="A76" s="355">
        <v>54</v>
      </c>
      <c r="B76" s="356"/>
      <c r="C76" s="356"/>
      <c r="D76" s="355">
        <v>54</v>
      </c>
      <c r="E76" s="356"/>
      <c r="F76" s="356"/>
      <c r="G76" s="333"/>
      <c r="H76" s="333"/>
      <c r="I76" s="333"/>
      <c r="J76" s="333"/>
    </row>
    <row r="77" spans="1:10">
      <c r="A77" s="355">
        <v>55</v>
      </c>
      <c r="B77" s="356"/>
      <c r="C77" s="356"/>
      <c r="D77" s="355">
        <v>55</v>
      </c>
      <c r="E77" s="356"/>
      <c r="F77" s="356"/>
      <c r="G77" s="333"/>
      <c r="H77" s="333"/>
      <c r="I77" s="333"/>
      <c r="J77" s="333"/>
    </row>
    <row r="78" spans="1:10">
      <c r="A78" s="355">
        <v>56</v>
      </c>
      <c r="B78" s="356"/>
      <c r="C78" s="356"/>
      <c r="D78" s="355">
        <v>56</v>
      </c>
      <c r="E78" s="356"/>
      <c r="F78" s="356"/>
      <c r="G78" s="333"/>
      <c r="H78" s="333"/>
      <c r="I78" s="333"/>
      <c r="J78" s="333"/>
    </row>
    <row r="79" spans="1:10">
      <c r="A79" s="355">
        <v>57</v>
      </c>
      <c r="B79" s="356"/>
      <c r="C79" s="356"/>
      <c r="D79" s="355">
        <v>57</v>
      </c>
      <c r="E79" s="356"/>
      <c r="F79" s="356"/>
      <c r="G79" s="333"/>
      <c r="H79" s="333"/>
      <c r="I79" s="333"/>
      <c r="J79" s="333"/>
    </row>
    <row r="80" spans="1:10">
      <c r="A80" s="355">
        <v>58</v>
      </c>
      <c r="B80" s="356"/>
      <c r="C80" s="356"/>
      <c r="D80" s="355">
        <v>58</v>
      </c>
      <c r="E80" s="356"/>
      <c r="F80" s="356"/>
      <c r="G80" s="333"/>
      <c r="H80" s="333"/>
      <c r="I80" s="333"/>
      <c r="J80" s="333"/>
    </row>
    <row r="81" spans="1:10">
      <c r="A81" s="355">
        <v>59</v>
      </c>
      <c r="B81" s="356"/>
      <c r="C81" s="356"/>
      <c r="D81" s="355">
        <v>59</v>
      </c>
      <c r="E81" s="356"/>
      <c r="F81" s="356"/>
      <c r="G81" s="333"/>
      <c r="H81" s="333"/>
      <c r="I81" s="333"/>
      <c r="J81" s="333"/>
    </row>
    <row r="82" spans="1:10">
      <c r="A82" s="355">
        <v>60</v>
      </c>
      <c r="B82" s="356"/>
      <c r="C82" s="356"/>
      <c r="D82" s="355">
        <v>60</v>
      </c>
      <c r="E82" s="356"/>
      <c r="F82" s="356"/>
      <c r="G82" s="333"/>
      <c r="H82" s="333"/>
      <c r="I82" s="333"/>
      <c r="J82" s="333"/>
    </row>
    <row r="83" spans="1:10">
      <c r="A83" s="355">
        <v>61</v>
      </c>
      <c r="B83" s="356"/>
      <c r="C83" s="356"/>
      <c r="D83" s="355">
        <v>61</v>
      </c>
      <c r="E83" s="356"/>
      <c r="F83" s="356"/>
      <c r="G83" s="333"/>
      <c r="H83" s="333"/>
      <c r="I83" s="333"/>
      <c r="J83" s="333"/>
    </row>
    <row r="84" spans="1:10">
      <c r="A84" s="355">
        <v>62</v>
      </c>
      <c r="B84" s="356"/>
      <c r="C84" s="356"/>
      <c r="D84" s="355">
        <v>62</v>
      </c>
      <c r="E84" s="356"/>
      <c r="F84" s="356"/>
      <c r="G84" s="333"/>
      <c r="H84" s="333"/>
      <c r="I84" s="333"/>
      <c r="J84" s="333"/>
    </row>
    <row r="85" spans="1:10">
      <c r="A85" s="355">
        <v>63</v>
      </c>
      <c r="B85" s="356"/>
      <c r="C85" s="356"/>
      <c r="D85" s="355">
        <v>63</v>
      </c>
      <c r="E85" s="356"/>
      <c r="F85" s="356"/>
      <c r="G85" s="333"/>
      <c r="H85" s="333"/>
      <c r="I85" s="333"/>
      <c r="J85" s="333"/>
    </row>
    <row r="86" spans="1:10">
      <c r="A86" s="355">
        <v>64</v>
      </c>
      <c r="B86" s="356"/>
      <c r="C86" s="356"/>
      <c r="D86" s="355">
        <v>64</v>
      </c>
      <c r="E86" s="356"/>
      <c r="F86" s="356"/>
      <c r="G86" s="333"/>
      <c r="H86" s="333"/>
      <c r="I86" s="333"/>
      <c r="J86" s="333"/>
    </row>
    <row r="87" spans="1:10">
      <c r="A87" s="355">
        <v>65</v>
      </c>
      <c r="B87" s="356"/>
      <c r="C87" s="356"/>
      <c r="D87" s="355">
        <v>65</v>
      </c>
      <c r="E87" s="356"/>
      <c r="F87" s="356"/>
      <c r="G87" s="333"/>
      <c r="H87" s="333"/>
      <c r="I87" s="333"/>
      <c r="J87" s="333"/>
    </row>
    <row r="88" spans="1:10">
      <c r="A88" s="355">
        <v>66</v>
      </c>
      <c r="B88" s="356"/>
      <c r="C88" s="356"/>
      <c r="D88" s="355">
        <v>66</v>
      </c>
      <c r="E88" s="356"/>
      <c r="F88" s="356"/>
      <c r="G88" s="333"/>
      <c r="H88" s="333"/>
      <c r="I88" s="333"/>
      <c r="J88" s="333"/>
    </row>
    <row r="89" spans="1:10">
      <c r="A89" s="355">
        <v>67</v>
      </c>
      <c r="B89" s="356"/>
      <c r="C89" s="356"/>
      <c r="D89" s="355">
        <v>67</v>
      </c>
      <c r="E89" s="356"/>
      <c r="F89" s="356"/>
      <c r="G89" s="333"/>
      <c r="H89" s="333"/>
      <c r="I89" s="333"/>
      <c r="J89" s="333"/>
    </row>
    <row r="90" spans="1:10">
      <c r="A90" s="355">
        <v>68</v>
      </c>
      <c r="B90" s="356"/>
      <c r="C90" s="356"/>
      <c r="D90" s="355">
        <v>68</v>
      </c>
      <c r="E90" s="356"/>
      <c r="F90" s="356"/>
      <c r="G90" s="333"/>
      <c r="H90" s="333"/>
      <c r="I90" s="333"/>
      <c r="J90" s="333"/>
    </row>
    <row r="91" spans="1:10">
      <c r="A91" s="355">
        <v>69</v>
      </c>
      <c r="B91" s="356"/>
      <c r="C91" s="356"/>
      <c r="D91" s="355">
        <v>69</v>
      </c>
      <c r="E91" s="356"/>
      <c r="F91" s="356"/>
      <c r="G91" s="333"/>
      <c r="H91" s="333"/>
      <c r="I91" s="333"/>
      <c r="J91" s="333"/>
    </row>
    <row r="92" spans="1:10">
      <c r="A92" s="355">
        <v>70</v>
      </c>
      <c r="B92" s="356"/>
      <c r="C92" s="356"/>
      <c r="D92" s="355">
        <v>70</v>
      </c>
      <c r="E92" s="356"/>
      <c r="F92" s="356"/>
      <c r="G92" s="333"/>
      <c r="H92" s="333"/>
      <c r="I92" s="333"/>
      <c r="J92" s="333"/>
    </row>
    <row r="93" spans="1:10">
      <c r="A93" s="355">
        <v>71</v>
      </c>
      <c r="B93" s="356"/>
      <c r="C93" s="356"/>
      <c r="D93" s="355">
        <v>71</v>
      </c>
      <c r="E93" s="356"/>
      <c r="F93" s="356"/>
      <c r="G93" s="333"/>
      <c r="H93" s="333"/>
      <c r="I93" s="333"/>
      <c r="J93" s="333"/>
    </row>
    <row r="94" spans="1:10">
      <c r="A94" s="355">
        <v>72</v>
      </c>
      <c r="B94" s="356"/>
      <c r="C94" s="356"/>
      <c r="D94" s="355">
        <v>72</v>
      </c>
      <c r="E94" s="356"/>
      <c r="F94" s="356"/>
      <c r="G94" s="333"/>
      <c r="H94" s="333"/>
      <c r="I94" s="333"/>
      <c r="J94" s="333"/>
    </row>
    <row r="95" spans="1:10">
      <c r="A95" s="355">
        <v>73</v>
      </c>
      <c r="B95" s="356"/>
      <c r="C95" s="356"/>
      <c r="D95" s="355">
        <v>73</v>
      </c>
      <c r="E95" s="356"/>
      <c r="F95" s="356"/>
      <c r="G95" s="333"/>
      <c r="H95" s="333"/>
      <c r="I95" s="333"/>
      <c r="J95" s="333"/>
    </row>
    <row r="96" spans="1:10">
      <c r="A96" s="355">
        <v>74</v>
      </c>
      <c r="B96" s="356"/>
      <c r="C96" s="356"/>
      <c r="D96" s="355">
        <v>74</v>
      </c>
      <c r="E96" s="356"/>
      <c r="F96" s="356"/>
      <c r="G96" s="333"/>
      <c r="H96" s="333"/>
      <c r="I96" s="333"/>
      <c r="J96" s="333"/>
    </row>
    <row r="97" spans="1:10">
      <c r="A97" s="355">
        <v>75</v>
      </c>
      <c r="B97" s="356"/>
      <c r="C97" s="356"/>
      <c r="D97" s="355">
        <v>75</v>
      </c>
      <c r="E97" s="356"/>
      <c r="F97" s="356"/>
      <c r="G97" s="333"/>
      <c r="H97" s="333"/>
      <c r="I97" s="333"/>
      <c r="J97" s="333"/>
    </row>
    <row r="98" spans="1:10">
      <c r="A98" s="355">
        <v>76</v>
      </c>
      <c r="B98" s="356"/>
      <c r="C98" s="356"/>
      <c r="D98" s="355">
        <v>76</v>
      </c>
      <c r="E98" s="356"/>
      <c r="F98" s="356"/>
      <c r="G98" s="333"/>
      <c r="H98" s="333"/>
      <c r="I98" s="333"/>
      <c r="J98" s="333"/>
    </row>
    <row r="99" spans="1:10">
      <c r="A99" s="355">
        <v>77</v>
      </c>
      <c r="B99" s="356"/>
      <c r="C99" s="356"/>
      <c r="D99" s="355">
        <v>77</v>
      </c>
      <c r="E99" s="356"/>
      <c r="F99" s="356"/>
      <c r="G99" s="333"/>
      <c r="H99" s="333"/>
      <c r="I99" s="333"/>
      <c r="J99" s="333"/>
    </row>
    <row r="100" spans="1:10">
      <c r="A100" s="355">
        <v>78</v>
      </c>
      <c r="B100" s="356"/>
      <c r="C100" s="356"/>
      <c r="D100" s="355">
        <v>78</v>
      </c>
      <c r="E100" s="356"/>
      <c r="F100" s="356"/>
      <c r="G100" s="333"/>
      <c r="H100" s="333"/>
      <c r="I100" s="333"/>
      <c r="J100" s="333"/>
    </row>
    <row r="101" spans="1:10">
      <c r="A101" s="355">
        <v>79</v>
      </c>
      <c r="B101" s="356"/>
      <c r="C101" s="356"/>
      <c r="D101" s="355">
        <v>79</v>
      </c>
      <c r="E101" s="356"/>
      <c r="F101" s="356"/>
      <c r="G101" s="333"/>
      <c r="H101" s="333"/>
      <c r="I101" s="333"/>
      <c r="J101" s="333"/>
    </row>
    <row r="102" spans="1:10">
      <c r="A102" s="355">
        <v>80</v>
      </c>
      <c r="B102" s="356"/>
      <c r="C102" s="356"/>
      <c r="D102" s="355">
        <v>80</v>
      </c>
      <c r="E102" s="356"/>
      <c r="F102" s="356"/>
      <c r="G102" s="333"/>
      <c r="H102" s="333"/>
      <c r="I102" s="333"/>
      <c r="J102" s="333"/>
    </row>
    <row r="103" spans="1:10">
      <c r="A103" s="355">
        <v>81</v>
      </c>
      <c r="B103" s="356"/>
      <c r="C103" s="356"/>
      <c r="D103" s="355">
        <v>81</v>
      </c>
      <c r="E103" s="356"/>
      <c r="F103" s="356"/>
      <c r="G103" s="333"/>
      <c r="H103" s="333"/>
      <c r="I103" s="333"/>
      <c r="J103" s="333"/>
    </row>
    <row r="104" spans="1:10">
      <c r="A104" s="355">
        <v>82</v>
      </c>
      <c r="B104" s="356"/>
      <c r="C104" s="356"/>
      <c r="D104" s="355">
        <v>82</v>
      </c>
      <c r="E104" s="356"/>
      <c r="F104" s="356"/>
      <c r="G104" s="333"/>
      <c r="H104" s="333"/>
      <c r="I104" s="333"/>
      <c r="J104" s="333"/>
    </row>
    <row r="105" spans="1:10">
      <c r="A105" s="355">
        <v>83</v>
      </c>
      <c r="B105" s="356"/>
      <c r="C105" s="356"/>
      <c r="D105" s="355">
        <v>83</v>
      </c>
      <c r="E105" s="356"/>
      <c r="F105" s="356"/>
      <c r="G105" s="333"/>
      <c r="H105" s="333"/>
      <c r="I105" s="333"/>
      <c r="J105" s="333"/>
    </row>
    <row r="106" spans="1:10">
      <c r="A106" s="355">
        <v>84</v>
      </c>
      <c r="B106" s="356"/>
      <c r="C106" s="356"/>
      <c r="D106" s="355">
        <v>84</v>
      </c>
      <c r="E106" s="356"/>
      <c r="F106" s="356"/>
      <c r="G106" s="333"/>
      <c r="H106" s="333"/>
      <c r="I106" s="333"/>
      <c r="J106" s="333"/>
    </row>
    <row r="107" spans="1:10">
      <c r="A107" s="355">
        <v>85</v>
      </c>
      <c r="B107" s="356"/>
      <c r="C107" s="356"/>
      <c r="D107" s="355">
        <v>85</v>
      </c>
      <c r="E107" s="356"/>
      <c r="F107" s="356"/>
      <c r="G107" s="333"/>
      <c r="H107" s="333"/>
      <c r="I107" s="333"/>
      <c r="J107" s="333"/>
    </row>
    <row r="108" spans="1:10">
      <c r="A108" s="355">
        <v>86</v>
      </c>
      <c r="B108" s="356"/>
      <c r="C108" s="356"/>
      <c r="D108" s="355">
        <v>86</v>
      </c>
      <c r="E108" s="356"/>
      <c r="F108" s="356"/>
      <c r="G108" s="333"/>
      <c r="H108" s="333"/>
      <c r="I108" s="333"/>
      <c r="J108" s="333"/>
    </row>
    <row r="109" spans="1:10">
      <c r="A109" s="355">
        <v>87</v>
      </c>
      <c r="B109" s="356"/>
      <c r="C109" s="356"/>
      <c r="D109" s="355">
        <v>87</v>
      </c>
      <c r="E109" s="356"/>
      <c r="F109" s="356"/>
      <c r="G109" s="333"/>
      <c r="H109" s="333"/>
      <c r="I109" s="333"/>
      <c r="J109" s="333"/>
    </row>
    <row r="110" spans="1:10">
      <c r="A110" s="355">
        <v>88</v>
      </c>
      <c r="B110" s="356"/>
      <c r="C110" s="356"/>
      <c r="D110" s="355">
        <v>88</v>
      </c>
      <c r="E110" s="356"/>
      <c r="F110" s="356"/>
      <c r="G110" s="333"/>
      <c r="H110" s="333"/>
      <c r="I110" s="333"/>
      <c r="J110" s="333"/>
    </row>
    <row r="111" spans="1:10">
      <c r="A111" s="355">
        <v>89</v>
      </c>
      <c r="B111" s="356"/>
      <c r="C111" s="356"/>
      <c r="D111" s="355">
        <v>89</v>
      </c>
      <c r="E111" s="356"/>
      <c r="F111" s="356"/>
      <c r="G111" s="333"/>
      <c r="H111" s="333"/>
      <c r="I111" s="333"/>
      <c r="J111" s="333"/>
    </row>
    <row r="112" spans="1:10">
      <c r="A112" s="355">
        <v>90</v>
      </c>
      <c r="B112" s="356"/>
      <c r="C112" s="356"/>
      <c r="D112" s="355">
        <v>90</v>
      </c>
      <c r="E112" s="356"/>
      <c r="F112" s="356"/>
      <c r="G112" s="333"/>
      <c r="H112" s="333"/>
      <c r="I112" s="333"/>
      <c r="J112" s="333"/>
    </row>
    <row r="113" spans="1:10">
      <c r="A113" s="355">
        <v>91</v>
      </c>
      <c r="B113" s="356"/>
      <c r="C113" s="356"/>
      <c r="D113" s="355">
        <v>91</v>
      </c>
      <c r="E113" s="356"/>
      <c r="F113" s="356"/>
      <c r="G113" s="333"/>
      <c r="H113" s="333"/>
      <c r="I113" s="333"/>
      <c r="J113" s="333"/>
    </row>
    <row r="114" spans="1:10">
      <c r="A114" s="355">
        <v>92</v>
      </c>
      <c r="B114" s="356"/>
      <c r="C114" s="356"/>
      <c r="D114" s="355">
        <v>92</v>
      </c>
      <c r="E114" s="356"/>
      <c r="F114" s="356"/>
      <c r="G114" s="333"/>
      <c r="H114" s="333"/>
      <c r="I114" s="333"/>
      <c r="J114" s="333"/>
    </row>
    <row r="115" spans="1:10">
      <c r="A115" s="355">
        <v>93</v>
      </c>
      <c r="B115" s="356"/>
      <c r="C115" s="356"/>
      <c r="D115" s="355">
        <v>93</v>
      </c>
      <c r="E115" s="356"/>
      <c r="F115" s="356"/>
      <c r="G115" s="333"/>
      <c r="H115" s="333"/>
      <c r="I115" s="333"/>
      <c r="J115" s="333"/>
    </row>
    <row r="116" spans="1:10">
      <c r="A116" s="355">
        <v>94</v>
      </c>
      <c r="B116" s="356"/>
      <c r="C116" s="356"/>
      <c r="D116" s="355">
        <v>94</v>
      </c>
      <c r="E116" s="356"/>
      <c r="F116" s="356"/>
      <c r="G116" s="333"/>
      <c r="H116" s="333"/>
      <c r="I116" s="333"/>
      <c r="J116" s="333"/>
    </row>
    <row r="117" spans="1:10">
      <c r="A117" s="355">
        <v>95</v>
      </c>
      <c r="B117" s="356"/>
      <c r="C117" s="356"/>
      <c r="D117" s="355">
        <v>95</v>
      </c>
      <c r="E117" s="356"/>
      <c r="F117" s="356"/>
      <c r="G117" s="333"/>
      <c r="H117" s="333"/>
      <c r="I117" s="333"/>
      <c r="J117" s="333"/>
    </row>
    <row r="118" spans="1:10">
      <c r="A118" s="355">
        <v>96</v>
      </c>
      <c r="B118" s="356"/>
      <c r="C118" s="356"/>
      <c r="D118" s="355">
        <v>96</v>
      </c>
      <c r="E118" s="356"/>
      <c r="F118" s="356"/>
      <c r="G118" s="333"/>
      <c r="H118" s="333"/>
      <c r="I118" s="333"/>
      <c r="J118" s="333"/>
    </row>
    <row r="119" spans="1:10">
      <c r="A119" s="355">
        <v>97</v>
      </c>
      <c r="B119" s="356"/>
      <c r="C119" s="356"/>
      <c r="D119" s="355">
        <v>97</v>
      </c>
      <c r="E119" s="356"/>
      <c r="F119" s="356"/>
      <c r="G119" s="333"/>
      <c r="H119" s="333"/>
      <c r="I119" s="333"/>
      <c r="J119" s="333"/>
    </row>
    <row r="120" spans="1:10">
      <c r="A120" s="355">
        <v>98</v>
      </c>
      <c r="B120" s="356"/>
      <c r="C120" s="356"/>
      <c r="D120" s="355">
        <v>98</v>
      </c>
      <c r="E120" s="356"/>
      <c r="F120" s="356"/>
      <c r="G120" s="333"/>
      <c r="H120" s="333"/>
      <c r="I120" s="333"/>
      <c r="J120" s="333"/>
    </row>
    <row r="121" spans="1:10">
      <c r="A121" s="355">
        <v>99</v>
      </c>
      <c r="B121" s="356"/>
      <c r="C121" s="356"/>
      <c r="D121" s="355">
        <v>99</v>
      </c>
      <c r="E121" s="356"/>
      <c r="F121" s="356"/>
      <c r="G121" s="333"/>
      <c r="H121" s="333"/>
      <c r="I121" s="333"/>
      <c r="J121" s="333"/>
    </row>
    <row r="122" spans="1:10">
      <c r="A122" s="355">
        <v>100</v>
      </c>
      <c r="B122" s="356"/>
      <c r="C122" s="356"/>
      <c r="D122" s="355">
        <v>100</v>
      </c>
      <c r="E122" s="356"/>
      <c r="F122" s="356"/>
      <c r="G122" s="333"/>
      <c r="H122" s="333"/>
      <c r="I122" s="333"/>
      <c r="J122" s="333"/>
    </row>
    <row r="123" spans="1:10">
      <c r="A123" s="355">
        <v>101</v>
      </c>
      <c r="B123" s="356"/>
      <c r="C123" s="356"/>
      <c r="D123" s="355">
        <v>101</v>
      </c>
      <c r="E123" s="356"/>
      <c r="F123" s="356"/>
      <c r="G123" s="333"/>
      <c r="H123" s="333"/>
      <c r="I123" s="333"/>
      <c r="J123" s="333"/>
    </row>
    <row r="124" spans="1:10">
      <c r="A124" s="355">
        <v>102</v>
      </c>
      <c r="B124" s="356"/>
      <c r="C124" s="356"/>
      <c r="D124" s="355">
        <v>102</v>
      </c>
      <c r="E124" s="356"/>
      <c r="F124" s="356"/>
      <c r="G124" s="333"/>
      <c r="H124" s="333"/>
      <c r="I124" s="333"/>
      <c r="J124" s="333"/>
    </row>
    <row r="125" spans="1:10">
      <c r="A125" s="355">
        <v>103</v>
      </c>
      <c r="B125" s="356"/>
      <c r="C125" s="356"/>
      <c r="D125" s="355">
        <v>103</v>
      </c>
      <c r="E125" s="356"/>
      <c r="F125" s="356"/>
      <c r="G125" s="333"/>
      <c r="H125" s="333"/>
      <c r="I125" s="333"/>
      <c r="J125" s="333"/>
    </row>
    <row r="126" spans="1:10">
      <c r="A126" s="355">
        <v>104</v>
      </c>
      <c r="B126" s="356"/>
      <c r="C126" s="356"/>
      <c r="D126" s="355">
        <v>104</v>
      </c>
      <c r="E126" s="356"/>
      <c r="F126" s="356"/>
      <c r="G126" s="333"/>
      <c r="H126" s="333"/>
      <c r="I126" s="333"/>
      <c r="J126" s="333"/>
    </row>
    <row r="127" spans="1:10">
      <c r="A127" s="355">
        <v>105</v>
      </c>
      <c r="B127" s="356"/>
      <c r="C127" s="356"/>
      <c r="D127" s="355">
        <v>105</v>
      </c>
      <c r="E127" s="356"/>
      <c r="F127" s="356"/>
      <c r="G127" s="333"/>
      <c r="H127" s="333"/>
      <c r="I127" s="333"/>
      <c r="J127" s="333"/>
    </row>
    <row r="128" spans="1:10">
      <c r="A128" s="355">
        <v>106</v>
      </c>
      <c r="B128" s="356"/>
      <c r="C128" s="356"/>
      <c r="D128" s="355">
        <v>106</v>
      </c>
      <c r="E128" s="356"/>
      <c r="F128" s="356"/>
      <c r="G128" s="333"/>
      <c r="H128" s="333"/>
      <c r="I128" s="333"/>
      <c r="J128" s="333"/>
    </row>
    <row r="129" spans="1:10">
      <c r="A129" s="355">
        <v>107</v>
      </c>
      <c r="B129" s="356"/>
      <c r="C129" s="356"/>
      <c r="D129" s="355">
        <v>107</v>
      </c>
      <c r="E129" s="356"/>
      <c r="F129" s="356"/>
      <c r="G129" s="333"/>
      <c r="H129" s="333"/>
      <c r="I129" s="333"/>
      <c r="J129" s="333"/>
    </row>
    <row r="130" spans="1:10">
      <c r="A130" s="355">
        <v>108</v>
      </c>
      <c r="B130" s="356"/>
      <c r="C130" s="356"/>
      <c r="D130" s="355">
        <v>108</v>
      </c>
      <c r="E130" s="356"/>
      <c r="F130" s="356"/>
      <c r="G130" s="333"/>
      <c r="H130" s="333"/>
      <c r="I130" s="333"/>
      <c r="J130" s="333"/>
    </row>
    <row r="131" spans="1:10">
      <c r="A131" s="355">
        <v>109</v>
      </c>
      <c r="B131" s="356"/>
      <c r="C131" s="356"/>
      <c r="D131" s="355">
        <v>109</v>
      </c>
      <c r="E131" s="356"/>
      <c r="F131" s="356"/>
      <c r="G131" s="333"/>
      <c r="H131" s="333"/>
      <c r="I131" s="333"/>
      <c r="J131" s="333"/>
    </row>
    <row r="132" spans="1:10">
      <c r="A132" s="355">
        <v>110</v>
      </c>
      <c r="B132" s="356"/>
      <c r="C132" s="356"/>
      <c r="D132" s="355">
        <v>110</v>
      </c>
      <c r="E132" s="356"/>
      <c r="F132" s="356"/>
      <c r="G132" s="333"/>
      <c r="H132" s="333"/>
      <c r="I132" s="333"/>
      <c r="J132" s="333"/>
    </row>
    <row r="133" spans="1:10">
      <c r="A133" s="355">
        <v>111</v>
      </c>
      <c r="B133" s="356"/>
      <c r="C133" s="356"/>
      <c r="D133" s="355">
        <v>111</v>
      </c>
      <c r="E133" s="356"/>
      <c r="F133" s="356"/>
      <c r="G133" s="333"/>
      <c r="H133" s="333"/>
      <c r="I133" s="333"/>
      <c r="J133" s="333"/>
    </row>
    <row r="134" spans="1:10">
      <c r="A134" s="355">
        <v>112</v>
      </c>
      <c r="B134" s="356"/>
      <c r="C134" s="356"/>
      <c r="D134" s="355">
        <v>112</v>
      </c>
      <c r="E134" s="356"/>
      <c r="F134" s="356"/>
      <c r="G134" s="333"/>
      <c r="H134" s="333"/>
      <c r="I134" s="333"/>
      <c r="J134" s="333"/>
    </row>
    <row r="135" spans="1:10">
      <c r="A135" s="355">
        <v>113</v>
      </c>
      <c r="B135" s="356"/>
      <c r="C135" s="356"/>
      <c r="D135" s="355">
        <v>113</v>
      </c>
      <c r="E135" s="356"/>
      <c r="F135" s="356"/>
      <c r="G135" s="333"/>
      <c r="H135" s="333"/>
      <c r="I135" s="333"/>
      <c r="J135" s="333"/>
    </row>
    <row r="136" spans="1:10">
      <c r="A136" s="355">
        <v>114</v>
      </c>
      <c r="B136" s="356"/>
      <c r="C136" s="356"/>
      <c r="D136" s="355">
        <v>114</v>
      </c>
      <c r="E136" s="356"/>
      <c r="F136" s="356"/>
      <c r="G136" s="333"/>
      <c r="H136" s="333"/>
      <c r="I136" s="333"/>
      <c r="J136" s="333"/>
    </row>
    <row r="137" spans="1:10">
      <c r="A137" s="355">
        <v>115</v>
      </c>
      <c r="B137" s="356"/>
      <c r="C137" s="356"/>
      <c r="D137" s="355">
        <v>115</v>
      </c>
      <c r="E137" s="356"/>
      <c r="F137" s="356"/>
      <c r="G137" s="333"/>
      <c r="H137" s="333"/>
      <c r="I137" s="333"/>
      <c r="J137" s="333"/>
    </row>
    <row r="138" spans="1:10">
      <c r="A138" s="355">
        <v>116</v>
      </c>
      <c r="B138" s="356"/>
      <c r="C138" s="356"/>
      <c r="D138" s="355">
        <v>116</v>
      </c>
      <c r="E138" s="356"/>
      <c r="F138" s="356"/>
      <c r="G138" s="333"/>
      <c r="H138" s="333"/>
      <c r="I138" s="333"/>
      <c r="J138" s="333"/>
    </row>
    <row r="139" spans="1:10">
      <c r="A139" s="355">
        <v>117</v>
      </c>
      <c r="B139" s="356"/>
      <c r="C139" s="356"/>
      <c r="D139" s="355">
        <v>117</v>
      </c>
      <c r="E139" s="356"/>
      <c r="F139" s="356"/>
      <c r="G139" s="333"/>
      <c r="H139" s="333"/>
      <c r="I139" s="333"/>
      <c r="J139" s="333"/>
    </row>
    <row r="140" spans="1:10">
      <c r="A140" s="355">
        <v>118</v>
      </c>
      <c r="B140" s="356"/>
      <c r="C140" s="356"/>
      <c r="D140" s="355">
        <v>118</v>
      </c>
      <c r="E140" s="356"/>
      <c r="F140" s="356"/>
      <c r="G140" s="333"/>
      <c r="H140" s="333"/>
      <c r="I140" s="333"/>
      <c r="J140" s="333"/>
    </row>
    <row r="141" spans="1:10">
      <c r="A141" s="355">
        <v>119</v>
      </c>
      <c r="B141" s="356"/>
      <c r="C141" s="356"/>
      <c r="D141" s="355">
        <v>119</v>
      </c>
      <c r="E141" s="356"/>
      <c r="F141" s="356"/>
      <c r="G141" s="333"/>
      <c r="H141" s="333"/>
      <c r="I141" s="333"/>
      <c r="J141" s="333"/>
    </row>
    <row r="142" spans="1:10">
      <c r="A142" s="355">
        <v>120</v>
      </c>
      <c r="B142" s="356"/>
      <c r="C142" s="356"/>
      <c r="D142" s="355">
        <v>120</v>
      </c>
      <c r="E142" s="356"/>
      <c r="F142" s="356"/>
      <c r="G142" s="333"/>
      <c r="H142" s="333"/>
      <c r="I142" s="333"/>
      <c r="J142" s="333"/>
    </row>
    <row r="143" spans="1:10">
      <c r="A143" s="355">
        <v>121</v>
      </c>
      <c r="B143" s="356"/>
      <c r="C143" s="356"/>
      <c r="D143" s="355">
        <v>121</v>
      </c>
      <c r="E143" s="356"/>
      <c r="F143" s="356"/>
      <c r="G143" s="333"/>
      <c r="H143" s="333"/>
      <c r="I143" s="333"/>
      <c r="J143" s="333"/>
    </row>
    <row r="144" spans="1:10">
      <c r="A144" s="355">
        <v>122</v>
      </c>
      <c r="B144" s="356"/>
      <c r="C144" s="356"/>
      <c r="D144" s="355">
        <v>122</v>
      </c>
      <c r="E144" s="356"/>
      <c r="F144" s="356"/>
      <c r="G144" s="333"/>
      <c r="H144" s="333"/>
      <c r="I144" s="333"/>
      <c r="J144" s="333"/>
    </row>
    <row r="145" spans="1:10">
      <c r="A145" s="355">
        <v>123</v>
      </c>
      <c r="B145" s="356"/>
      <c r="C145" s="356"/>
      <c r="D145" s="355">
        <v>123</v>
      </c>
      <c r="E145" s="356"/>
      <c r="F145" s="356"/>
      <c r="G145" s="333"/>
      <c r="H145" s="333"/>
      <c r="I145" s="333"/>
      <c r="J145" s="333"/>
    </row>
    <row r="146" spans="1:10">
      <c r="A146" s="355">
        <v>124</v>
      </c>
      <c r="B146" s="356"/>
      <c r="C146" s="356"/>
      <c r="D146" s="355">
        <v>124</v>
      </c>
      <c r="E146" s="356"/>
      <c r="F146" s="356"/>
      <c r="G146" s="333"/>
      <c r="H146" s="333"/>
      <c r="I146" s="333"/>
      <c r="J146" s="333"/>
    </row>
    <row r="147" spans="1:10">
      <c r="A147" s="355">
        <v>125</v>
      </c>
      <c r="B147" s="356"/>
      <c r="C147" s="356"/>
      <c r="D147" s="355">
        <v>125</v>
      </c>
      <c r="E147" s="356"/>
      <c r="F147" s="356"/>
      <c r="G147" s="333"/>
      <c r="H147" s="333"/>
      <c r="I147" s="333"/>
      <c r="J147" s="333"/>
    </row>
    <row r="148" spans="1:10">
      <c r="A148" s="355">
        <v>126</v>
      </c>
      <c r="B148" s="356"/>
      <c r="C148" s="356"/>
      <c r="D148" s="355">
        <v>126</v>
      </c>
      <c r="E148" s="356"/>
      <c r="F148" s="356"/>
      <c r="G148" s="333"/>
      <c r="H148" s="333"/>
      <c r="I148" s="333"/>
      <c r="J148" s="333"/>
    </row>
    <row r="149" spans="1:10">
      <c r="A149" s="355">
        <v>127</v>
      </c>
      <c r="B149" s="356"/>
      <c r="C149" s="356"/>
      <c r="D149" s="355">
        <v>127</v>
      </c>
      <c r="E149" s="356"/>
      <c r="F149" s="356"/>
      <c r="G149" s="333"/>
      <c r="H149" s="333"/>
      <c r="I149" s="333"/>
      <c r="J149" s="333"/>
    </row>
    <row r="150" spans="1:10">
      <c r="A150" s="355">
        <v>128</v>
      </c>
      <c r="B150" s="356"/>
      <c r="C150" s="356"/>
      <c r="D150" s="355">
        <v>128</v>
      </c>
      <c r="E150" s="356"/>
      <c r="F150" s="356"/>
      <c r="G150" s="333"/>
      <c r="H150" s="333"/>
      <c r="I150" s="333"/>
      <c r="J150" s="333"/>
    </row>
    <row r="151" spans="1:10">
      <c r="A151" s="355">
        <v>129</v>
      </c>
      <c r="B151" s="356"/>
      <c r="C151" s="356"/>
      <c r="D151" s="355">
        <v>129</v>
      </c>
      <c r="E151" s="356"/>
      <c r="F151" s="356"/>
      <c r="G151" s="333"/>
      <c r="H151" s="333"/>
      <c r="I151" s="333"/>
      <c r="J151" s="333"/>
    </row>
    <row r="152" spans="1:10">
      <c r="A152" s="355">
        <v>130</v>
      </c>
      <c r="B152" s="356"/>
      <c r="C152" s="356"/>
      <c r="D152" s="355">
        <v>130</v>
      </c>
      <c r="E152" s="356"/>
      <c r="F152" s="356"/>
      <c r="G152" s="333"/>
      <c r="H152" s="333"/>
      <c r="I152" s="333"/>
      <c r="J152" s="333"/>
    </row>
    <row r="153" spans="1:10">
      <c r="A153" s="355">
        <v>131</v>
      </c>
      <c r="B153" s="356"/>
      <c r="C153" s="356"/>
      <c r="D153" s="355">
        <v>131</v>
      </c>
      <c r="E153" s="356"/>
      <c r="F153" s="356"/>
      <c r="G153" s="333"/>
      <c r="H153" s="333"/>
      <c r="I153" s="333"/>
      <c r="J153" s="333"/>
    </row>
    <row r="154" spans="1:10">
      <c r="A154" s="355">
        <v>132</v>
      </c>
      <c r="B154" s="356"/>
      <c r="C154" s="356"/>
      <c r="D154" s="355">
        <v>132</v>
      </c>
      <c r="E154" s="356"/>
      <c r="F154" s="356"/>
      <c r="G154" s="333"/>
      <c r="H154" s="333"/>
      <c r="I154" s="333"/>
      <c r="J154" s="333"/>
    </row>
    <row r="155" spans="1:10">
      <c r="A155" s="355">
        <v>133</v>
      </c>
      <c r="B155" s="356"/>
      <c r="C155" s="356"/>
      <c r="D155" s="355">
        <v>133</v>
      </c>
      <c r="E155" s="356"/>
      <c r="F155" s="356"/>
      <c r="G155" s="333"/>
      <c r="H155" s="333"/>
      <c r="I155" s="333"/>
      <c r="J155" s="333"/>
    </row>
    <row r="156" spans="1:10">
      <c r="A156" s="355">
        <v>134</v>
      </c>
      <c r="B156" s="356"/>
      <c r="C156" s="356"/>
      <c r="D156" s="355">
        <v>134</v>
      </c>
      <c r="E156" s="356"/>
      <c r="F156" s="356"/>
      <c r="G156" s="333"/>
      <c r="H156" s="333"/>
      <c r="I156" s="333"/>
      <c r="J156" s="333"/>
    </row>
    <row r="157" spans="1:10">
      <c r="A157" s="355">
        <v>135</v>
      </c>
      <c r="B157" s="356"/>
      <c r="C157" s="356"/>
      <c r="D157" s="355">
        <v>135</v>
      </c>
      <c r="E157" s="356"/>
      <c r="F157" s="356"/>
      <c r="G157" s="333"/>
      <c r="H157" s="333"/>
      <c r="I157" s="333"/>
      <c r="J157" s="333"/>
    </row>
    <row r="158" spans="1:10">
      <c r="A158" s="355">
        <v>136</v>
      </c>
      <c r="B158" s="356"/>
      <c r="C158" s="356"/>
      <c r="D158" s="355">
        <v>136</v>
      </c>
      <c r="E158" s="356"/>
      <c r="F158" s="356"/>
      <c r="G158" s="333"/>
      <c r="H158" s="333"/>
      <c r="I158" s="333"/>
      <c r="J158" s="333"/>
    </row>
    <row r="159" spans="1:10">
      <c r="A159" s="355">
        <v>137</v>
      </c>
      <c r="B159" s="356"/>
      <c r="C159" s="356"/>
      <c r="D159" s="355">
        <v>137</v>
      </c>
      <c r="E159" s="356"/>
      <c r="F159" s="356"/>
      <c r="G159" s="333"/>
      <c r="H159" s="333"/>
      <c r="I159" s="333"/>
      <c r="J159" s="333"/>
    </row>
    <row r="160" spans="1:10">
      <c r="A160" s="355">
        <v>138</v>
      </c>
      <c r="B160" s="356"/>
      <c r="C160" s="356"/>
      <c r="D160" s="355">
        <v>138</v>
      </c>
      <c r="E160" s="356"/>
      <c r="F160" s="356"/>
      <c r="G160" s="333"/>
      <c r="H160" s="333"/>
      <c r="I160" s="333"/>
      <c r="J160" s="333"/>
    </row>
    <row r="161" spans="1:10">
      <c r="A161" s="355">
        <v>139</v>
      </c>
      <c r="B161" s="356"/>
      <c r="C161" s="356"/>
      <c r="D161" s="355">
        <v>139</v>
      </c>
      <c r="E161" s="356"/>
      <c r="F161" s="356"/>
      <c r="G161" s="333"/>
      <c r="H161" s="333"/>
      <c r="I161" s="333"/>
      <c r="J161" s="333"/>
    </row>
    <row r="162" spans="1:10">
      <c r="A162" s="355">
        <v>140</v>
      </c>
      <c r="B162" s="356"/>
      <c r="C162" s="356"/>
      <c r="D162" s="355">
        <v>140</v>
      </c>
      <c r="E162" s="356"/>
      <c r="F162" s="356"/>
      <c r="G162" s="333"/>
      <c r="H162" s="333"/>
      <c r="I162" s="333"/>
      <c r="J162" s="333"/>
    </row>
    <row r="163" spans="1:10">
      <c r="A163" s="355">
        <v>141</v>
      </c>
      <c r="B163" s="356"/>
      <c r="C163" s="356"/>
      <c r="D163" s="355">
        <v>141</v>
      </c>
      <c r="E163" s="356"/>
      <c r="F163" s="356"/>
      <c r="G163" s="333"/>
      <c r="H163" s="333"/>
      <c r="I163" s="333"/>
      <c r="J163" s="333"/>
    </row>
    <row r="164" spans="1:10">
      <c r="A164" s="355">
        <v>142</v>
      </c>
      <c r="B164" s="356"/>
      <c r="C164" s="356"/>
      <c r="D164" s="355">
        <v>142</v>
      </c>
      <c r="E164" s="356"/>
      <c r="F164" s="356"/>
      <c r="G164" s="333"/>
      <c r="H164" s="333"/>
      <c r="I164" s="333"/>
      <c r="J164" s="333"/>
    </row>
    <row r="165" spans="1:10">
      <c r="A165" s="355">
        <v>143</v>
      </c>
      <c r="B165" s="356"/>
      <c r="C165" s="356"/>
      <c r="D165" s="355">
        <v>143</v>
      </c>
      <c r="E165" s="356"/>
      <c r="F165" s="356"/>
      <c r="G165" s="333"/>
      <c r="H165" s="333"/>
      <c r="I165" s="333"/>
      <c r="J165" s="333"/>
    </row>
    <row r="166" spans="1:10">
      <c r="A166" s="355">
        <v>144</v>
      </c>
      <c r="B166" s="356"/>
      <c r="C166" s="356"/>
      <c r="D166" s="355">
        <v>144</v>
      </c>
      <c r="E166" s="356"/>
      <c r="F166" s="356"/>
      <c r="G166" s="333"/>
      <c r="H166" s="333"/>
      <c r="I166" s="333"/>
      <c r="J166" s="333"/>
    </row>
    <row r="167" spans="1:10">
      <c r="A167" s="355">
        <v>145</v>
      </c>
      <c r="B167" s="356"/>
      <c r="C167" s="356"/>
      <c r="D167" s="355">
        <v>145</v>
      </c>
      <c r="E167" s="356"/>
      <c r="F167" s="356"/>
      <c r="G167" s="333"/>
      <c r="H167" s="333"/>
      <c r="I167" s="333"/>
      <c r="J167" s="333"/>
    </row>
    <row r="168" spans="1:10">
      <c r="A168" s="355">
        <v>146</v>
      </c>
      <c r="B168" s="356"/>
      <c r="C168" s="356"/>
      <c r="D168" s="355">
        <v>146</v>
      </c>
      <c r="E168" s="356"/>
      <c r="F168" s="356"/>
      <c r="G168" s="333"/>
      <c r="H168" s="333"/>
      <c r="I168" s="333"/>
      <c r="J168" s="333"/>
    </row>
    <row r="169" spans="1:10">
      <c r="A169" s="355">
        <v>147</v>
      </c>
      <c r="B169" s="356"/>
      <c r="C169" s="356"/>
      <c r="D169" s="355">
        <v>147</v>
      </c>
      <c r="E169" s="356"/>
      <c r="F169" s="356"/>
      <c r="G169" s="333"/>
      <c r="H169" s="333"/>
      <c r="I169" s="333"/>
      <c r="J169" s="333"/>
    </row>
    <row r="170" spans="1:10">
      <c r="A170" s="355">
        <v>148</v>
      </c>
      <c r="B170" s="356"/>
      <c r="C170" s="356"/>
      <c r="D170" s="355">
        <v>148</v>
      </c>
      <c r="E170" s="356"/>
      <c r="F170" s="356"/>
      <c r="G170" s="333"/>
      <c r="H170" s="333"/>
      <c r="I170" s="333"/>
      <c r="J170" s="333"/>
    </row>
    <row r="171" spans="1:10">
      <c r="A171" s="355">
        <v>149</v>
      </c>
      <c r="B171" s="356"/>
      <c r="C171" s="356"/>
      <c r="D171" s="355">
        <v>149</v>
      </c>
      <c r="E171" s="356"/>
      <c r="F171" s="356"/>
      <c r="G171" s="333"/>
      <c r="H171" s="333"/>
      <c r="I171" s="333"/>
      <c r="J171" s="333"/>
    </row>
    <row r="172" spans="1:10">
      <c r="A172" s="355">
        <v>150</v>
      </c>
      <c r="B172" s="356"/>
      <c r="C172" s="356"/>
      <c r="D172" s="355">
        <v>150</v>
      </c>
      <c r="E172" s="356"/>
      <c r="F172" s="356"/>
      <c r="G172" s="333"/>
      <c r="H172" s="333"/>
      <c r="I172" s="333"/>
      <c r="J172" s="333"/>
    </row>
    <row r="173" spans="1:10">
      <c r="A173" s="355">
        <v>151</v>
      </c>
      <c r="B173" s="356"/>
      <c r="C173" s="356"/>
      <c r="D173" s="355">
        <v>151</v>
      </c>
      <c r="E173" s="356"/>
      <c r="F173" s="356"/>
      <c r="G173" s="333"/>
      <c r="H173" s="333"/>
      <c r="I173" s="333"/>
      <c r="J173" s="333"/>
    </row>
    <row r="174" spans="1:10">
      <c r="A174" s="355">
        <v>152</v>
      </c>
      <c r="B174" s="356"/>
      <c r="C174" s="356"/>
      <c r="D174" s="355">
        <v>152</v>
      </c>
      <c r="E174" s="356"/>
      <c r="F174" s="356"/>
      <c r="G174" s="333"/>
      <c r="H174" s="333"/>
      <c r="I174" s="333"/>
      <c r="J174" s="333"/>
    </row>
    <row r="175" spans="1:10">
      <c r="A175" s="355">
        <v>153</v>
      </c>
      <c r="B175" s="356"/>
      <c r="C175" s="356"/>
      <c r="D175" s="355">
        <v>153</v>
      </c>
      <c r="E175" s="356"/>
      <c r="F175" s="356"/>
      <c r="G175" s="333"/>
      <c r="H175" s="333"/>
      <c r="I175" s="333"/>
      <c r="J175" s="333"/>
    </row>
    <row r="176" spans="1:10">
      <c r="A176" s="355">
        <v>154</v>
      </c>
      <c r="B176" s="356"/>
      <c r="C176" s="356"/>
      <c r="D176" s="355">
        <v>154</v>
      </c>
      <c r="E176" s="356"/>
      <c r="F176" s="356"/>
      <c r="G176" s="333"/>
      <c r="H176" s="333"/>
      <c r="I176" s="333"/>
      <c r="J176" s="333"/>
    </row>
    <row r="177" spans="1:10">
      <c r="A177" s="355">
        <v>155</v>
      </c>
      <c r="B177" s="356"/>
      <c r="C177" s="356"/>
      <c r="D177" s="355">
        <v>155</v>
      </c>
      <c r="E177" s="356"/>
      <c r="F177" s="356"/>
      <c r="G177" s="333"/>
      <c r="H177" s="333"/>
      <c r="I177" s="333"/>
      <c r="J177" s="333"/>
    </row>
    <row r="178" spans="1:10">
      <c r="A178" s="355">
        <v>156</v>
      </c>
      <c r="B178" s="356"/>
      <c r="C178" s="356"/>
      <c r="D178" s="355">
        <v>156</v>
      </c>
      <c r="E178" s="356"/>
      <c r="F178" s="356"/>
      <c r="G178" s="333"/>
      <c r="H178" s="333"/>
      <c r="I178" s="333"/>
      <c r="J178" s="333"/>
    </row>
    <row r="179" spans="1:10">
      <c r="A179" s="355">
        <v>157</v>
      </c>
      <c r="B179" s="356"/>
      <c r="C179" s="356"/>
      <c r="D179" s="355">
        <v>157</v>
      </c>
      <c r="E179" s="356"/>
      <c r="F179" s="356"/>
      <c r="G179" s="333"/>
      <c r="H179" s="333"/>
      <c r="I179" s="333"/>
      <c r="J179" s="333"/>
    </row>
    <row r="180" spans="1:10">
      <c r="A180" s="355">
        <v>158</v>
      </c>
      <c r="B180" s="356"/>
      <c r="C180" s="356"/>
      <c r="D180" s="355">
        <v>158</v>
      </c>
      <c r="E180" s="356"/>
      <c r="F180" s="356"/>
      <c r="G180" s="333"/>
      <c r="H180" s="333"/>
      <c r="I180" s="333"/>
      <c r="J180" s="333"/>
    </row>
    <row r="181" spans="1:10">
      <c r="A181" s="355">
        <v>159</v>
      </c>
      <c r="B181" s="356"/>
      <c r="C181" s="356"/>
      <c r="D181" s="355">
        <v>159</v>
      </c>
      <c r="E181" s="356"/>
      <c r="F181" s="356"/>
      <c r="G181" s="333"/>
      <c r="H181" s="333"/>
      <c r="I181" s="333"/>
      <c r="J181" s="333"/>
    </row>
    <row r="182" spans="1:10">
      <c r="A182" s="355">
        <v>160</v>
      </c>
      <c r="B182" s="356"/>
      <c r="C182" s="356"/>
      <c r="D182" s="355">
        <v>160</v>
      </c>
      <c r="E182" s="356"/>
      <c r="F182" s="356"/>
      <c r="G182" s="333"/>
      <c r="H182" s="333"/>
      <c r="I182" s="333"/>
      <c r="J182" s="333"/>
    </row>
    <row r="183" spans="1:10">
      <c r="A183" s="355">
        <v>161</v>
      </c>
      <c r="B183" s="356"/>
      <c r="C183" s="356"/>
      <c r="D183" s="355">
        <v>161</v>
      </c>
      <c r="E183" s="356"/>
      <c r="F183" s="356"/>
      <c r="G183" s="333"/>
      <c r="H183" s="333"/>
      <c r="I183" s="333"/>
      <c r="J183" s="333"/>
    </row>
    <row r="184" spans="1:10">
      <c r="A184" s="355">
        <v>162</v>
      </c>
      <c r="B184" s="356"/>
      <c r="C184" s="356"/>
      <c r="D184" s="355">
        <v>162</v>
      </c>
      <c r="E184" s="356"/>
      <c r="F184" s="356"/>
      <c r="G184" s="333"/>
      <c r="H184" s="333"/>
      <c r="I184" s="333"/>
      <c r="J184" s="333"/>
    </row>
    <row r="185" spans="1:10">
      <c r="A185" s="355">
        <v>163</v>
      </c>
      <c r="B185" s="356"/>
      <c r="C185" s="356"/>
      <c r="D185" s="355">
        <v>163</v>
      </c>
      <c r="E185" s="356"/>
      <c r="F185" s="356"/>
      <c r="G185" s="333"/>
      <c r="H185" s="333"/>
      <c r="I185" s="333"/>
      <c r="J185" s="333"/>
    </row>
    <row r="186" spans="1:10">
      <c r="A186" s="355">
        <v>164</v>
      </c>
      <c r="B186" s="356"/>
      <c r="C186" s="356"/>
      <c r="D186" s="355">
        <v>164</v>
      </c>
      <c r="E186" s="356"/>
      <c r="F186" s="356"/>
      <c r="G186" s="333"/>
      <c r="H186" s="333"/>
      <c r="I186" s="333"/>
      <c r="J186" s="333"/>
    </row>
    <row r="187" spans="1:10">
      <c r="A187" s="355">
        <v>165</v>
      </c>
      <c r="B187" s="356"/>
      <c r="C187" s="356"/>
      <c r="D187" s="355">
        <v>165</v>
      </c>
      <c r="E187" s="356"/>
      <c r="F187" s="356"/>
      <c r="G187" s="333"/>
      <c r="H187" s="333"/>
      <c r="I187" s="333"/>
      <c r="J187" s="333"/>
    </row>
    <row r="188" spans="1:10">
      <c r="A188" s="355">
        <v>166</v>
      </c>
      <c r="B188" s="356"/>
      <c r="C188" s="356"/>
      <c r="D188" s="355">
        <v>166</v>
      </c>
      <c r="E188" s="356"/>
      <c r="F188" s="356"/>
      <c r="G188" s="333"/>
      <c r="H188" s="333"/>
      <c r="I188" s="333"/>
      <c r="J188" s="333"/>
    </row>
    <row r="189" spans="1:10">
      <c r="A189" s="355">
        <v>167</v>
      </c>
      <c r="B189" s="356"/>
      <c r="C189" s="356"/>
      <c r="D189" s="355">
        <v>167</v>
      </c>
      <c r="E189" s="356"/>
      <c r="F189" s="356"/>
      <c r="G189" s="333"/>
      <c r="H189" s="333"/>
      <c r="I189" s="333"/>
      <c r="J189" s="333"/>
    </row>
    <row r="190" spans="1:10">
      <c r="A190" s="355">
        <v>168</v>
      </c>
      <c r="B190" s="356"/>
      <c r="C190" s="356"/>
      <c r="D190" s="355">
        <v>168</v>
      </c>
      <c r="E190" s="356"/>
      <c r="F190" s="356"/>
      <c r="G190" s="333"/>
      <c r="H190" s="333"/>
      <c r="I190" s="333"/>
      <c r="J190" s="333"/>
    </row>
    <row r="191" spans="1:10">
      <c r="A191" s="355">
        <v>169</v>
      </c>
      <c r="B191" s="356"/>
      <c r="C191" s="356"/>
      <c r="D191" s="355">
        <v>169</v>
      </c>
      <c r="E191" s="356"/>
      <c r="F191" s="356"/>
      <c r="G191" s="333"/>
      <c r="H191" s="333"/>
      <c r="I191" s="333"/>
      <c r="J191" s="333"/>
    </row>
    <row r="192" spans="1:10">
      <c r="A192" s="355">
        <v>170</v>
      </c>
      <c r="B192" s="356"/>
      <c r="C192" s="356"/>
      <c r="D192" s="355">
        <v>170</v>
      </c>
      <c r="E192" s="356"/>
      <c r="F192" s="356"/>
      <c r="G192" s="333"/>
      <c r="H192" s="333"/>
      <c r="I192" s="333"/>
      <c r="J192" s="333"/>
    </row>
    <row r="193" spans="1:10">
      <c r="A193" s="355">
        <v>171</v>
      </c>
      <c r="B193" s="356"/>
      <c r="C193" s="356"/>
      <c r="D193" s="355">
        <v>171</v>
      </c>
      <c r="E193" s="356"/>
      <c r="F193" s="356"/>
      <c r="G193" s="333"/>
      <c r="H193" s="333"/>
      <c r="I193" s="333"/>
      <c r="J193" s="333"/>
    </row>
    <row r="194" spans="1:10">
      <c r="A194" s="355">
        <v>172</v>
      </c>
      <c r="B194" s="356"/>
      <c r="C194" s="356"/>
      <c r="D194" s="355">
        <v>172</v>
      </c>
      <c r="E194" s="356"/>
      <c r="F194" s="356"/>
      <c r="G194" s="333"/>
      <c r="H194" s="333"/>
      <c r="I194" s="333"/>
      <c r="J194" s="333"/>
    </row>
    <row r="195" spans="1:10">
      <c r="A195" s="355">
        <v>173</v>
      </c>
      <c r="B195" s="356"/>
      <c r="C195" s="356"/>
      <c r="D195" s="355">
        <v>173</v>
      </c>
      <c r="E195" s="356"/>
      <c r="F195" s="356"/>
      <c r="G195" s="333"/>
      <c r="H195" s="333"/>
      <c r="I195" s="333"/>
      <c r="J195" s="333"/>
    </row>
    <row r="196" spans="1:10">
      <c r="A196" s="355">
        <v>174</v>
      </c>
      <c r="B196" s="356"/>
      <c r="C196" s="356"/>
      <c r="D196" s="355">
        <v>174</v>
      </c>
      <c r="E196" s="356"/>
      <c r="F196" s="356"/>
      <c r="G196" s="333"/>
      <c r="H196" s="333"/>
      <c r="I196" s="333"/>
      <c r="J196" s="333"/>
    </row>
    <row r="197" spans="1:10">
      <c r="A197" s="355">
        <v>175</v>
      </c>
      <c r="B197" s="356"/>
      <c r="C197" s="356"/>
      <c r="D197" s="355">
        <v>175</v>
      </c>
      <c r="E197" s="356"/>
      <c r="F197" s="356"/>
      <c r="G197" s="333"/>
      <c r="H197" s="333"/>
      <c r="I197" s="333"/>
      <c r="J197" s="333"/>
    </row>
    <row r="198" spans="1:10">
      <c r="A198" s="355">
        <v>176</v>
      </c>
      <c r="B198" s="356"/>
      <c r="C198" s="356"/>
      <c r="D198" s="355">
        <v>176</v>
      </c>
      <c r="E198" s="356"/>
      <c r="F198" s="356"/>
      <c r="G198" s="333"/>
      <c r="H198" s="333"/>
      <c r="I198" s="333"/>
      <c r="J198" s="333"/>
    </row>
    <row r="199" spans="1:10">
      <c r="A199" s="355">
        <v>177</v>
      </c>
      <c r="B199" s="356"/>
      <c r="C199" s="356"/>
      <c r="D199" s="355">
        <v>177</v>
      </c>
      <c r="E199" s="356"/>
      <c r="F199" s="356"/>
      <c r="G199" s="333"/>
      <c r="H199" s="333"/>
      <c r="I199" s="333"/>
      <c r="J199" s="333"/>
    </row>
    <row r="200" spans="1:10">
      <c r="A200" s="355">
        <v>178</v>
      </c>
      <c r="B200" s="356"/>
      <c r="C200" s="356"/>
      <c r="D200" s="355">
        <v>178</v>
      </c>
      <c r="E200" s="356"/>
      <c r="F200" s="356"/>
      <c r="G200" s="333"/>
      <c r="H200" s="333"/>
      <c r="I200" s="333"/>
      <c r="J200" s="333"/>
    </row>
    <row r="201" spans="1:10">
      <c r="A201" s="355">
        <v>179</v>
      </c>
      <c r="B201" s="356"/>
      <c r="C201" s="356"/>
      <c r="D201" s="355">
        <v>179</v>
      </c>
      <c r="E201" s="356"/>
      <c r="F201" s="356"/>
      <c r="G201" s="333"/>
      <c r="H201" s="333"/>
      <c r="I201" s="333"/>
      <c r="J201" s="333"/>
    </row>
    <row r="202" spans="1:10">
      <c r="A202" s="355">
        <v>180</v>
      </c>
      <c r="B202" s="356"/>
      <c r="C202" s="356"/>
      <c r="D202" s="355">
        <v>180</v>
      </c>
      <c r="E202" s="356"/>
      <c r="F202" s="356"/>
      <c r="G202" s="333"/>
      <c r="H202" s="333"/>
      <c r="I202" s="333"/>
      <c r="J202" s="333"/>
    </row>
    <row r="203" spans="1:10">
      <c r="A203" s="355">
        <v>181</v>
      </c>
      <c r="B203" s="356"/>
      <c r="C203" s="356"/>
      <c r="D203" s="355">
        <v>181</v>
      </c>
      <c r="E203" s="356"/>
      <c r="F203" s="356"/>
      <c r="G203" s="333"/>
      <c r="H203" s="333"/>
      <c r="I203" s="333"/>
      <c r="J203" s="333"/>
    </row>
    <row r="204" spans="1:10">
      <c r="A204" s="355">
        <v>182</v>
      </c>
      <c r="B204" s="356"/>
      <c r="C204" s="356"/>
      <c r="D204" s="355">
        <v>182</v>
      </c>
      <c r="E204" s="356"/>
      <c r="F204" s="356"/>
      <c r="G204" s="333"/>
      <c r="H204" s="333"/>
      <c r="I204" s="333"/>
      <c r="J204" s="333"/>
    </row>
    <row r="205" spans="1:10">
      <c r="A205" s="355">
        <v>183</v>
      </c>
      <c r="B205" s="356"/>
      <c r="C205" s="356"/>
      <c r="D205" s="355">
        <v>183</v>
      </c>
      <c r="E205" s="356"/>
      <c r="F205" s="356"/>
      <c r="G205" s="333"/>
      <c r="H205" s="333"/>
      <c r="I205" s="333"/>
      <c r="J205" s="333"/>
    </row>
    <row r="206" spans="1:10">
      <c r="A206" s="355">
        <v>184</v>
      </c>
      <c r="B206" s="356"/>
      <c r="C206" s="356"/>
      <c r="D206" s="355">
        <v>184</v>
      </c>
      <c r="E206" s="356"/>
      <c r="F206" s="356"/>
      <c r="G206" s="333"/>
      <c r="H206" s="333"/>
      <c r="I206" s="333"/>
      <c r="J206" s="333"/>
    </row>
    <row r="207" spans="1:10">
      <c r="A207" s="355">
        <v>185</v>
      </c>
      <c r="B207" s="356"/>
      <c r="C207" s="356"/>
      <c r="D207" s="355">
        <v>185</v>
      </c>
      <c r="E207" s="356"/>
      <c r="F207" s="356"/>
      <c r="G207" s="333"/>
      <c r="H207" s="333"/>
      <c r="I207" s="333"/>
      <c r="J207" s="333"/>
    </row>
    <row r="208" spans="1:10">
      <c r="A208" s="355">
        <v>186</v>
      </c>
      <c r="B208" s="356"/>
      <c r="C208" s="356"/>
      <c r="D208" s="355">
        <v>186</v>
      </c>
      <c r="E208" s="356"/>
      <c r="F208" s="356"/>
      <c r="G208" s="333"/>
      <c r="H208" s="333"/>
      <c r="I208" s="333"/>
      <c r="J208" s="333"/>
    </row>
    <row r="209" spans="1:10">
      <c r="A209" s="355">
        <v>187</v>
      </c>
      <c r="B209" s="356"/>
      <c r="C209" s="356"/>
      <c r="D209" s="355">
        <v>187</v>
      </c>
      <c r="E209" s="356"/>
      <c r="F209" s="356"/>
      <c r="G209" s="333"/>
      <c r="H209" s="333"/>
      <c r="I209" s="333"/>
      <c r="J209" s="333"/>
    </row>
    <row r="210" spans="1:10">
      <c r="A210" s="355">
        <v>188</v>
      </c>
      <c r="B210" s="356"/>
      <c r="C210" s="356"/>
      <c r="D210" s="355">
        <v>188</v>
      </c>
      <c r="E210" s="356"/>
      <c r="F210" s="356"/>
      <c r="G210" s="333"/>
      <c r="H210" s="333"/>
      <c r="I210" s="333"/>
      <c r="J210" s="333"/>
    </row>
    <row r="211" spans="1:10">
      <c r="A211" s="355">
        <v>189</v>
      </c>
      <c r="B211" s="356"/>
      <c r="C211" s="356"/>
      <c r="D211" s="355">
        <v>189</v>
      </c>
      <c r="E211" s="356"/>
      <c r="F211" s="356"/>
      <c r="G211" s="333"/>
      <c r="H211" s="333"/>
      <c r="I211" s="333"/>
      <c r="J211" s="333"/>
    </row>
    <row r="212" spans="1:10">
      <c r="A212" s="355">
        <v>190</v>
      </c>
      <c r="B212" s="356"/>
      <c r="C212" s="356"/>
      <c r="D212" s="355">
        <v>190</v>
      </c>
      <c r="E212" s="356"/>
      <c r="F212" s="356"/>
      <c r="G212" s="333"/>
      <c r="H212" s="333"/>
      <c r="I212" s="333"/>
      <c r="J212" s="333"/>
    </row>
    <row r="213" spans="1:10">
      <c r="A213" s="355">
        <v>191</v>
      </c>
      <c r="B213" s="356"/>
      <c r="C213" s="356"/>
      <c r="D213" s="355">
        <v>191</v>
      </c>
      <c r="E213" s="356"/>
      <c r="F213" s="356"/>
      <c r="G213" s="333"/>
      <c r="H213" s="333"/>
      <c r="I213" s="333"/>
      <c r="J213" s="333"/>
    </row>
    <row r="214" spans="1:10">
      <c r="A214" s="355">
        <v>192</v>
      </c>
      <c r="B214" s="356"/>
      <c r="C214" s="356"/>
      <c r="D214" s="355">
        <v>192</v>
      </c>
      <c r="E214" s="356"/>
      <c r="F214" s="356"/>
      <c r="G214" s="333"/>
      <c r="H214" s="333"/>
      <c r="I214" s="333"/>
      <c r="J214" s="333"/>
    </row>
    <row r="215" spans="1:10">
      <c r="A215" s="355">
        <v>193</v>
      </c>
      <c r="B215" s="356"/>
      <c r="C215" s="356"/>
      <c r="D215" s="355">
        <v>193</v>
      </c>
      <c r="E215" s="356"/>
      <c r="F215" s="356"/>
      <c r="G215" s="333"/>
      <c r="H215" s="333"/>
      <c r="I215" s="333"/>
      <c r="J215" s="333"/>
    </row>
    <row r="216" spans="1:10">
      <c r="A216" s="355">
        <v>194</v>
      </c>
      <c r="B216" s="356"/>
      <c r="C216" s="356"/>
      <c r="D216" s="355">
        <v>194</v>
      </c>
      <c r="E216" s="356"/>
      <c r="F216" s="356"/>
      <c r="G216" s="333"/>
      <c r="H216" s="333"/>
      <c r="I216" s="333"/>
      <c r="J216" s="333"/>
    </row>
    <row r="217" spans="1:10">
      <c r="A217" s="355">
        <v>195</v>
      </c>
      <c r="B217" s="356"/>
      <c r="C217" s="356"/>
      <c r="D217" s="355">
        <v>195</v>
      </c>
      <c r="E217" s="356"/>
      <c r="F217" s="356"/>
      <c r="G217" s="333"/>
      <c r="H217" s="333"/>
      <c r="I217" s="333"/>
      <c r="J217" s="333"/>
    </row>
    <row r="218" spans="1:10">
      <c r="A218" s="355">
        <v>196</v>
      </c>
      <c r="B218" s="356"/>
      <c r="C218" s="356"/>
      <c r="D218" s="355">
        <v>196</v>
      </c>
      <c r="E218" s="356"/>
      <c r="F218" s="356"/>
      <c r="G218" s="333"/>
      <c r="H218" s="333"/>
      <c r="I218" s="333"/>
      <c r="J218" s="333"/>
    </row>
    <row r="219" spans="1:10">
      <c r="A219" s="355">
        <v>197</v>
      </c>
      <c r="B219" s="356"/>
      <c r="C219" s="356"/>
      <c r="D219" s="355">
        <v>197</v>
      </c>
      <c r="E219" s="356"/>
      <c r="F219" s="356"/>
      <c r="G219" s="333"/>
      <c r="H219" s="333"/>
      <c r="I219" s="333"/>
      <c r="J219" s="333"/>
    </row>
    <row r="220" spans="1:10">
      <c r="A220" s="355">
        <v>198</v>
      </c>
      <c r="B220" s="356"/>
      <c r="C220" s="356"/>
      <c r="D220" s="355">
        <v>198</v>
      </c>
      <c r="E220" s="356"/>
      <c r="F220" s="356"/>
      <c r="G220" s="333"/>
      <c r="H220" s="333"/>
      <c r="I220" s="333"/>
      <c r="J220" s="333"/>
    </row>
    <row r="221" spans="1:10">
      <c r="A221" s="355">
        <v>199</v>
      </c>
      <c r="B221" s="356"/>
      <c r="C221" s="356"/>
      <c r="D221" s="355">
        <v>199</v>
      </c>
      <c r="E221" s="356"/>
      <c r="F221" s="356"/>
      <c r="G221" s="333"/>
      <c r="H221" s="333"/>
      <c r="I221" s="333"/>
      <c r="J221" s="333"/>
    </row>
    <row r="222" spans="1:10">
      <c r="A222" s="355">
        <v>200</v>
      </c>
      <c r="B222" s="356"/>
      <c r="C222" s="356"/>
      <c r="D222" s="355">
        <v>200</v>
      </c>
      <c r="E222" s="356"/>
      <c r="F222" s="356"/>
      <c r="G222" s="333"/>
      <c r="H222" s="333"/>
      <c r="I222" s="333"/>
      <c r="J222" s="333"/>
    </row>
    <row r="223" spans="1:10">
      <c r="A223" s="355">
        <v>201</v>
      </c>
      <c r="B223" s="356"/>
      <c r="C223" s="356"/>
      <c r="D223" s="355">
        <v>201</v>
      </c>
      <c r="E223" s="356"/>
      <c r="F223" s="356"/>
      <c r="G223" s="333"/>
      <c r="H223" s="333"/>
      <c r="I223" s="333"/>
      <c r="J223" s="333"/>
    </row>
    <row r="224" spans="1:10">
      <c r="A224" s="355">
        <v>202</v>
      </c>
      <c r="B224" s="356"/>
      <c r="C224" s="356"/>
      <c r="D224" s="355">
        <v>202</v>
      </c>
      <c r="E224" s="356"/>
      <c r="F224" s="356"/>
      <c r="G224" s="333"/>
      <c r="H224" s="333"/>
      <c r="I224" s="333"/>
      <c r="J224" s="333"/>
    </row>
    <row r="225" spans="1:10">
      <c r="A225" s="355">
        <v>203</v>
      </c>
      <c r="B225" s="356"/>
      <c r="C225" s="356"/>
      <c r="D225" s="355">
        <v>203</v>
      </c>
      <c r="E225" s="356"/>
      <c r="F225" s="356"/>
      <c r="G225" s="333"/>
      <c r="H225" s="333"/>
      <c r="I225" s="333"/>
      <c r="J225" s="333"/>
    </row>
    <row r="226" spans="1:10">
      <c r="A226" s="355">
        <v>204</v>
      </c>
      <c r="B226" s="356"/>
      <c r="C226" s="356"/>
      <c r="D226" s="355">
        <v>204</v>
      </c>
      <c r="E226" s="356"/>
      <c r="F226" s="356"/>
      <c r="G226" s="333"/>
      <c r="H226" s="333"/>
      <c r="I226" s="333"/>
      <c r="J226" s="333"/>
    </row>
    <row r="227" spans="1:10">
      <c r="A227" s="355">
        <v>205</v>
      </c>
      <c r="B227" s="356"/>
      <c r="C227" s="356"/>
      <c r="D227" s="355">
        <v>205</v>
      </c>
      <c r="E227" s="356"/>
      <c r="F227" s="356"/>
      <c r="G227" s="333"/>
      <c r="H227" s="333"/>
      <c r="I227" s="333"/>
      <c r="J227" s="333"/>
    </row>
    <row r="228" spans="1:10">
      <c r="A228" s="355">
        <v>206</v>
      </c>
      <c r="B228" s="356"/>
      <c r="C228" s="356"/>
      <c r="D228" s="355">
        <v>206</v>
      </c>
      <c r="E228" s="356"/>
      <c r="F228" s="356"/>
      <c r="G228" s="333"/>
      <c r="H228" s="333"/>
      <c r="I228" s="333"/>
      <c r="J228" s="333"/>
    </row>
    <row r="229" spans="1:10">
      <c r="A229" s="355">
        <v>207</v>
      </c>
      <c r="B229" s="356"/>
      <c r="C229" s="356"/>
      <c r="D229" s="355">
        <v>207</v>
      </c>
      <c r="E229" s="356"/>
      <c r="F229" s="356"/>
      <c r="G229" s="333"/>
      <c r="H229" s="333"/>
      <c r="I229" s="333"/>
      <c r="J229" s="333"/>
    </row>
    <row r="230" spans="1:10">
      <c r="A230" s="355">
        <v>208</v>
      </c>
      <c r="B230" s="356"/>
      <c r="C230" s="356"/>
      <c r="D230" s="355">
        <v>208</v>
      </c>
      <c r="E230" s="356"/>
      <c r="F230" s="356"/>
      <c r="G230" s="333"/>
      <c r="H230" s="333"/>
      <c r="I230" s="333"/>
      <c r="J230" s="333"/>
    </row>
    <row r="231" spans="1:10">
      <c r="A231" s="355">
        <v>209</v>
      </c>
      <c r="B231" s="356"/>
      <c r="C231" s="356"/>
      <c r="D231" s="355">
        <v>209</v>
      </c>
      <c r="E231" s="356"/>
      <c r="F231" s="356"/>
      <c r="G231" s="333"/>
      <c r="H231" s="333"/>
      <c r="I231" s="333"/>
      <c r="J231" s="333"/>
    </row>
    <row r="232" spans="1:10">
      <c r="A232" s="355">
        <v>210</v>
      </c>
      <c r="B232" s="356"/>
      <c r="C232" s="356"/>
      <c r="D232" s="355">
        <v>210</v>
      </c>
      <c r="E232" s="356"/>
      <c r="F232" s="356"/>
      <c r="G232" s="333"/>
      <c r="H232" s="333"/>
      <c r="I232" s="333"/>
      <c r="J232" s="333"/>
    </row>
    <row r="233" spans="1:10">
      <c r="A233" s="355">
        <v>211</v>
      </c>
      <c r="B233" s="356"/>
      <c r="C233" s="356"/>
      <c r="D233" s="355">
        <v>211</v>
      </c>
      <c r="E233" s="356"/>
      <c r="F233" s="356"/>
      <c r="G233" s="333"/>
      <c r="H233" s="333"/>
      <c r="I233" s="333"/>
      <c r="J233" s="333"/>
    </row>
    <row r="234" spans="1:10">
      <c r="A234" s="355">
        <v>212</v>
      </c>
      <c r="B234" s="356"/>
      <c r="C234" s="356"/>
      <c r="D234" s="355">
        <v>212</v>
      </c>
      <c r="E234" s="356"/>
      <c r="F234" s="356"/>
      <c r="G234" s="333"/>
      <c r="H234" s="333"/>
      <c r="I234" s="333"/>
      <c r="J234" s="333"/>
    </row>
    <row r="235" spans="1:10">
      <c r="A235" s="355">
        <v>213</v>
      </c>
      <c r="B235" s="356"/>
      <c r="C235" s="356"/>
      <c r="D235" s="355">
        <v>213</v>
      </c>
      <c r="E235" s="356"/>
      <c r="F235" s="356"/>
      <c r="G235" s="333"/>
      <c r="H235" s="333"/>
      <c r="I235" s="333"/>
      <c r="J235" s="333"/>
    </row>
    <row r="236" spans="1:10">
      <c r="A236" s="355">
        <v>214</v>
      </c>
      <c r="B236" s="356"/>
      <c r="C236" s="356"/>
      <c r="D236" s="355">
        <v>214</v>
      </c>
      <c r="E236" s="356"/>
      <c r="F236" s="356"/>
      <c r="G236" s="333"/>
      <c r="H236" s="333"/>
      <c r="I236" s="333"/>
      <c r="J236" s="333"/>
    </row>
    <row r="237" spans="1:10">
      <c r="A237" s="355">
        <v>215</v>
      </c>
      <c r="B237" s="356"/>
      <c r="C237" s="356"/>
      <c r="D237" s="355">
        <v>215</v>
      </c>
      <c r="E237" s="356"/>
      <c r="F237" s="356"/>
      <c r="G237" s="333"/>
      <c r="H237" s="333"/>
      <c r="I237" s="333"/>
      <c r="J237" s="333"/>
    </row>
    <row r="238" spans="1:10">
      <c r="A238" s="355">
        <v>216</v>
      </c>
      <c r="B238" s="356"/>
      <c r="C238" s="356"/>
      <c r="D238" s="355">
        <v>216</v>
      </c>
      <c r="E238" s="356"/>
      <c r="F238" s="356"/>
      <c r="G238" s="333"/>
      <c r="H238" s="333"/>
      <c r="I238" s="333"/>
      <c r="J238" s="333"/>
    </row>
    <row r="239" spans="1:10">
      <c r="A239" s="355">
        <v>217</v>
      </c>
      <c r="B239" s="356"/>
      <c r="C239" s="356"/>
      <c r="D239" s="355">
        <v>217</v>
      </c>
      <c r="E239" s="356"/>
      <c r="F239" s="356"/>
      <c r="G239" s="333"/>
      <c r="H239" s="333"/>
      <c r="I239" s="333"/>
      <c r="J239" s="333"/>
    </row>
    <row r="240" spans="1:10">
      <c r="A240" s="355">
        <v>218</v>
      </c>
      <c r="B240" s="356"/>
      <c r="C240" s="356"/>
      <c r="D240" s="355">
        <v>218</v>
      </c>
      <c r="E240" s="356"/>
      <c r="F240" s="356"/>
      <c r="G240" s="333"/>
      <c r="H240" s="333"/>
      <c r="I240" s="333"/>
      <c r="J240" s="333"/>
    </row>
    <row r="241" spans="1:10">
      <c r="A241" s="355">
        <v>219</v>
      </c>
      <c r="B241" s="356"/>
      <c r="C241" s="356"/>
      <c r="D241" s="355">
        <v>219</v>
      </c>
      <c r="E241" s="356"/>
      <c r="F241" s="356"/>
      <c r="G241" s="333"/>
      <c r="H241" s="333"/>
      <c r="I241" s="333"/>
      <c r="J241" s="333"/>
    </row>
    <row r="242" spans="1:10">
      <c r="A242" s="355">
        <v>220</v>
      </c>
      <c r="B242" s="356"/>
      <c r="C242" s="356"/>
      <c r="D242" s="355">
        <v>220</v>
      </c>
      <c r="E242" s="356"/>
      <c r="F242" s="356"/>
      <c r="G242" s="333"/>
      <c r="H242" s="333"/>
      <c r="I242" s="333"/>
      <c r="J242" s="333"/>
    </row>
    <row r="243" spans="1:10">
      <c r="A243" s="355">
        <v>221</v>
      </c>
      <c r="B243" s="356"/>
      <c r="C243" s="356"/>
      <c r="D243" s="355">
        <v>221</v>
      </c>
      <c r="E243" s="356"/>
      <c r="F243" s="356"/>
      <c r="G243" s="333"/>
      <c r="H243" s="333"/>
      <c r="I243" s="333"/>
      <c r="J243" s="333"/>
    </row>
    <row r="244" spans="1:10">
      <c r="A244" s="355">
        <v>222</v>
      </c>
      <c r="B244" s="356"/>
      <c r="C244" s="356"/>
      <c r="D244" s="355">
        <v>222</v>
      </c>
      <c r="E244" s="356"/>
      <c r="F244" s="356"/>
      <c r="G244" s="333"/>
      <c r="H244" s="333"/>
      <c r="I244" s="333"/>
      <c r="J244" s="333"/>
    </row>
    <row r="245" spans="1:10">
      <c r="A245" s="355">
        <v>223</v>
      </c>
      <c r="B245" s="356"/>
      <c r="C245" s="356"/>
      <c r="D245" s="355">
        <v>223</v>
      </c>
      <c r="E245" s="356"/>
      <c r="F245" s="356"/>
      <c r="G245" s="333"/>
      <c r="H245" s="333"/>
      <c r="I245" s="333"/>
      <c r="J245" s="333"/>
    </row>
    <row r="246" spans="1:10">
      <c r="A246" s="355">
        <v>224</v>
      </c>
      <c r="B246" s="356"/>
      <c r="C246" s="356"/>
      <c r="D246" s="355">
        <v>224</v>
      </c>
      <c r="E246" s="356"/>
      <c r="F246" s="356"/>
      <c r="G246" s="333"/>
      <c r="H246" s="333"/>
      <c r="I246" s="333"/>
      <c r="J246" s="333"/>
    </row>
    <row r="247" spans="1:10">
      <c r="A247" s="355">
        <v>225</v>
      </c>
      <c r="B247" s="356"/>
      <c r="C247" s="356"/>
      <c r="D247" s="355">
        <v>225</v>
      </c>
      <c r="E247" s="356"/>
      <c r="F247" s="356"/>
      <c r="G247" s="333"/>
      <c r="H247" s="333"/>
      <c r="I247" s="333"/>
      <c r="J247" s="333"/>
    </row>
    <row r="248" spans="1:10">
      <c r="A248" s="355">
        <v>226</v>
      </c>
      <c r="B248" s="356"/>
      <c r="C248" s="356"/>
      <c r="D248" s="355">
        <v>226</v>
      </c>
      <c r="E248" s="356"/>
      <c r="F248" s="356"/>
      <c r="G248" s="333"/>
      <c r="H248" s="333"/>
      <c r="I248" s="333"/>
      <c r="J248" s="333"/>
    </row>
    <row r="249" spans="1:10">
      <c r="A249" s="355">
        <v>227</v>
      </c>
      <c r="B249" s="356"/>
      <c r="C249" s="356"/>
      <c r="D249" s="355">
        <v>227</v>
      </c>
      <c r="E249" s="356"/>
      <c r="F249" s="356"/>
      <c r="G249" s="333"/>
      <c r="H249" s="333"/>
      <c r="I249" s="333"/>
      <c r="J249" s="333"/>
    </row>
    <row r="250" spans="1:10">
      <c r="A250" s="355">
        <v>228</v>
      </c>
      <c r="B250" s="356"/>
      <c r="C250" s="356"/>
      <c r="D250" s="355">
        <v>228</v>
      </c>
      <c r="E250" s="356"/>
      <c r="F250" s="356"/>
      <c r="G250" s="333"/>
      <c r="H250" s="333"/>
      <c r="I250" s="333"/>
      <c r="J250" s="333"/>
    </row>
    <row r="251" spans="1:10">
      <c r="A251" s="355">
        <v>229</v>
      </c>
      <c r="B251" s="356"/>
      <c r="C251" s="356"/>
      <c r="D251" s="355">
        <v>229</v>
      </c>
      <c r="E251" s="356"/>
      <c r="F251" s="356"/>
      <c r="G251" s="333"/>
      <c r="H251" s="333"/>
      <c r="I251" s="333"/>
      <c r="J251" s="333"/>
    </row>
    <row r="252" ht="15.75" customHeight="1" spans="1:10">
      <c r="A252" s="355">
        <v>230</v>
      </c>
      <c r="B252" s="356"/>
      <c r="C252" s="356"/>
      <c r="D252" s="355">
        <v>230</v>
      </c>
      <c r="E252" s="356"/>
      <c r="F252" s="356"/>
      <c r="G252" s="333"/>
      <c r="H252" s="333"/>
      <c r="I252" s="333"/>
      <c r="J252" s="333"/>
    </row>
    <row r="253" ht="15.75" customHeight="1" spans="1:10">
      <c r="A253" s="355">
        <v>231</v>
      </c>
      <c r="B253" s="356"/>
      <c r="C253" s="356"/>
      <c r="D253" s="355">
        <v>231</v>
      </c>
      <c r="E253" s="356"/>
      <c r="F253" s="356"/>
      <c r="G253" s="333"/>
      <c r="H253" s="333"/>
      <c r="I253" s="333"/>
      <c r="J253" s="333"/>
    </row>
    <row r="254" ht="15.75" customHeight="1" spans="1:10">
      <c r="A254" s="355">
        <v>232</v>
      </c>
      <c r="B254" s="356"/>
      <c r="C254" s="356"/>
      <c r="D254" s="355">
        <v>232</v>
      </c>
      <c r="E254" s="356"/>
      <c r="F254" s="356"/>
      <c r="G254" s="333"/>
      <c r="H254" s="333"/>
      <c r="I254" s="333"/>
      <c r="J254" s="333"/>
    </row>
    <row r="255" ht="15.75" customHeight="1" spans="1:10">
      <c r="A255" s="355">
        <v>233</v>
      </c>
      <c r="B255" s="356"/>
      <c r="C255" s="356"/>
      <c r="D255" s="355">
        <v>233</v>
      </c>
      <c r="E255" s="356"/>
      <c r="F255" s="356"/>
      <c r="G255" s="333"/>
      <c r="H255" s="333"/>
      <c r="I255" s="333"/>
      <c r="J255" s="333"/>
    </row>
    <row r="256" ht="15.75" customHeight="1" spans="1:10">
      <c r="A256" s="355">
        <v>234</v>
      </c>
      <c r="B256" s="356"/>
      <c r="C256" s="356"/>
      <c r="D256" s="355">
        <v>234</v>
      </c>
      <c r="E256" s="356"/>
      <c r="F256" s="356"/>
      <c r="G256" s="333"/>
      <c r="H256" s="333"/>
      <c r="I256" s="333"/>
      <c r="J256" s="333"/>
    </row>
    <row r="257" ht="15.75" customHeight="1" spans="1:10">
      <c r="A257" s="355">
        <v>235</v>
      </c>
      <c r="B257" s="356"/>
      <c r="C257" s="356"/>
      <c r="D257" s="355">
        <v>235</v>
      </c>
      <c r="E257" s="356"/>
      <c r="F257" s="356"/>
      <c r="G257" s="333"/>
      <c r="H257" s="333"/>
      <c r="I257" s="333"/>
      <c r="J257" s="333"/>
    </row>
    <row r="258" ht="15.75" customHeight="1" spans="1:10">
      <c r="A258" s="355">
        <v>236</v>
      </c>
      <c r="B258" s="356"/>
      <c r="C258" s="356"/>
      <c r="D258" s="355">
        <v>236</v>
      </c>
      <c r="E258" s="356"/>
      <c r="F258" s="356"/>
      <c r="G258" s="333"/>
      <c r="H258" s="333"/>
      <c r="I258" s="333"/>
      <c r="J258" s="333"/>
    </row>
    <row r="259" ht="15.75" customHeight="1" spans="1:10">
      <c r="A259" s="355">
        <v>237</v>
      </c>
      <c r="B259" s="356"/>
      <c r="C259" s="356"/>
      <c r="D259" s="355">
        <v>237</v>
      </c>
      <c r="E259" s="356"/>
      <c r="F259" s="356"/>
      <c r="G259" s="333"/>
      <c r="H259" s="333"/>
      <c r="I259" s="333"/>
      <c r="J259" s="333"/>
    </row>
    <row r="260" ht="15.75" customHeight="1" spans="1:10">
      <c r="A260" s="355">
        <v>238</v>
      </c>
      <c r="B260" s="356"/>
      <c r="C260" s="356"/>
      <c r="D260" s="355">
        <v>238</v>
      </c>
      <c r="E260" s="356"/>
      <c r="F260" s="356"/>
      <c r="G260" s="333"/>
      <c r="H260" s="333"/>
      <c r="I260" s="333"/>
      <c r="J260" s="333"/>
    </row>
    <row r="261" ht="15.75" customHeight="1" spans="1:10">
      <c r="A261" s="355">
        <v>239</v>
      </c>
      <c r="B261" s="356"/>
      <c r="C261" s="356"/>
      <c r="D261" s="355">
        <v>239</v>
      </c>
      <c r="E261" s="356"/>
      <c r="F261" s="356"/>
      <c r="G261" s="333"/>
      <c r="H261" s="333"/>
      <c r="I261" s="333"/>
      <c r="J261" s="333"/>
    </row>
    <row r="262" ht="15.75" customHeight="1" spans="1:10">
      <c r="A262" s="355">
        <v>240</v>
      </c>
      <c r="B262" s="356"/>
      <c r="C262" s="356"/>
      <c r="D262" s="355">
        <v>240</v>
      </c>
      <c r="E262" s="356"/>
      <c r="F262" s="356"/>
      <c r="G262" s="333"/>
      <c r="H262" s="333"/>
      <c r="I262" s="333"/>
      <c r="J262" s="333"/>
    </row>
    <row r="263" ht="15.75" customHeight="1" spans="1:10">
      <c r="A263" s="355">
        <v>241</v>
      </c>
      <c r="B263" s="356"/>
      <c r="C263" s="356"/>
      <c r="D263" s="355">
        <v>241</v>
      </c>
      <c r="E263" s="356"/>
      <c r="F263" s="356"/>
      <c r="G263" s="333"/>
      <c r="H263" s="333"/>
      <c r="I263" s="333"/>
      <c r="J263" s="333"/>
    </row>
    <row r="264" ht="15.75" customHeight="1" spans="1:10">
      <c r="A264" s="355">
        <v>242</v>
      </c>
      <c r="B264" s="356"/>
      <c r="C264" s="356"/>
      <c r="D264" s="355">
        <v>242</v>
      </c>
      <c r="E264" s="356"/>
      <c r="F264" s="356"/>
      <c r="G264" s="333"/>
      <c r="H264" s="333"/>
      <c r="I264" s="333"/>
      <c r="J264" s="333"/>
    </row>
    <row r="265" ht="15.75" customHeight="1" spans="1:10">
      <c r="A265" s="355">
        <v>243</v>
      </c>
      <c r="B265" s="356"/>
      <c r="C265" s="356"/>
      <c r="D265" s="355">
        <v>243</v>
      </c>
      <c r="E265" s="356"/>
      <c r="F265" s="356"/>
      <c r="G265" s="333"/>
      <c r="H265" s="333"/>
      <c r="I265" s="333"/>
      <c r="J265" s="333"/>
    </row>
    <row r="266" ht="15.75" customHeight="1" spans="1:10">
      <c r="A266" s="355">
        <v>244</v>
      </c>
      <c r="B266" s="356"/>
      <c r="C266" s="356"/>
      <c r="D266" s="355">
        <v>244</v>
      </c>
      <c r="E266" s="356"/>
      <c r="F266" s="356"/>
      <c r="G266" s="333"/>
      <c r="H266" s="333"/>
      <c r="I266" s="333"/>
      <c r="J266" s="333"/>
    </row>
    <row r="267" ht="15.75" customHeight="1" spans="1:10">
      <c r="A267" s="355">
        <v>245</v>
      </c>
      <c r="B267" s="356"/>
      <c r="C267" s="356"/>
      <c r="D267" s="355">
        <v>245</v>
      </c>
      <c r="E267" s="356"/>
      <c r="F267" s="356"/>
      <c r="G267" s="333"/>
      <c r="H267" s="333"/>
      <c r="I267" s="333"/>
      <c r="J267" s="333"/>
    </row>
    <row r="268" ht="15.75" customHeight="1" spans="1:10">
      <c r="A268" s="355">
        <v>246</v>
      </c>
      <c r="B268" s="356"/>
      <c r="C268" s="356"/>
      <c r="D268" s="355">
        <v>246</v>
      </c>
      <c r="E268" s="356"/>
      <c r="F268" s="356"/>
      <c r="G268" s="333"/>
      <c r="H268" s="333"/>
      <c r="I268" s="333"/>
      <c r="J268" s="333"/>
    </row>
    <row r="269" ht="15.75" customHeight="1" spans="1:10">
      <c r="A269" s="355">
        <v>247</v>
      </c>
      <c r="B269" s="356"/>
      <c r="C269" s="356"/>
      <c r="D269" s="355">
        <v>247</v>
      </c>
      <c r="E269" s="356"/>
      <c r="F269" s="356"/>
      <c r="G269" s="333"/>
      <c r="H269" s="333"/>
      <c r="I269" s="333"/>
      <c r="J269" s="333"/>
    </row>
    <row r="270" ht="15.75" customHeight="1" spans="1:10">
      <c r="A270" s="355">
        <v>248</v>
      </c>
      <c r="B270" s="356"/>
      <c r="C270" s="356"/>
      <c r="D270" s="355">
        <v>248</v>
      </c>
      <c r="E270" s="356"/>
      <c r="F270" s="356"/>
      <c r="G270" s="333"/>
      <c r="H270" s="333"/>
      <c r="I270" s="333"/>
      <c r="J270" s="333"/>
    </row>
    <row r="271" ht="15.75" customHeight="1" spans="1:10">
      <c r="A271" s="355">
        <v>249</v>
      </c>
      <c r="B271" s="356"/>
      <c r="C271" s="356"/>
      <c r="D271" s="355">
        <v>249</v>
      </c>
      <c r="E271" s="356"/>
      <c r="F271" s="356"/>
      <c r="G271" s="333"/>
      <c r="H271" s="333"/>
      <c r="I271" s="333"/>
      <c r="J271" s="333"/>
    </row>
    <row r="272" ht="15.75" customHeight="1" spans="1:10">
      <c r="A272" s="355">
        <v>250</v>
      </c>
      <c r="B272" s="356"/>
      <c r="C272" s="356"/>
      <c r="D272" s="355">
        <v>250</v>
      </c>
      <c r="E272" s="356"/>
      <c r="F272" s="356"/>
      <c r="G272" s="333"/>
      <c r="H272" s="333"/>
      <c r="I272" s="333"/>
      <c r="J272" s="333"/>
    </row>
    <row r="273" ht="15.75" customHeight="1" spans="1:10">
      <c r="A273" s="355">
        <v>251</v>
      </c>
      <c r="B273" s="356"/>
      <c r="C273" s="356"/>
      <c r="D273" s="355">
        <v>251</v>
      </c>
      <c r="E273" s="356"/>
      <c r="F273" s="356"/>
      <c r="G273" s="333"/>
      <c r="H273" s="333"/>
      <c r="I273" s="333"/>
      <c r="J273" s="333"/>
    </row>
    <row r="274" ht="15.75" customHeight="1" spans="1:10">
      <c r="A274" s="355">
        <v>252</v>
      </c>
      <c r="B274" s="356"/>
      <c r="C274" s="356"/>
      <c r="D274" s="355">
        <v>252</v>
      </c>
      <c r="E274" s="356"/>
      <c r="F274" s="356"/>
      <c r="G274" s="333"/>
      <c r="H274" s="333"/>
      <c r="I274" s="333"/>
      <c r="J274" s="333"/>
    </row>
    <row r="275" ht="15.75" customHeight="1" spans="1:10">
      <c r="A275" s="355">
        <v>253</v>
      </c>
      <c r="B275" s="356"/>
      <c r="C275" s="356"/>
      <c r="D275" s="355">
        <v>253</v>
      </c>
      <c r="E275" s="356"/>
      <c r="F275" s="356"/>
      <c r="G275" s="333"/>
      <c r="H275" s="333"/>
      <c r="I275" s="333"/>
      <c r="J275" s="333"/>
    </row>
    <row r="276" ht="15.75" customHeight="1" spans="1:10">
      <c r="A276" s="355">
        <v>254</v>
      </c>
      <c r="B276" s="356"/>
      <c r="C276" s="356"/>
      <c r="D276" s="355">
        <v>254</v>
      </c>
      <c r="E276" s="356"/>
      <c r="F276" s="356"/>
      <c r="G276" s="333"/>
      <c r="H276" s="333"/>
      <c r="I276" s="333"/>
      <c r="J276" s="333"/>
    </row>
    <row r="277" ht="15.75" customHeight="1" spans="1:10">
      <c r="A277" s="355">
        <v>255</v>
      </c>
      <c r="B277" s="356"/>
      <c r="C277" s="356"/>
      <c r="D277" s="355">
        <v>255</v>
      </c>
      <c r="E277" s="356"/>
      <c r="F277" s="356"/>
      <c r="G277" s="333"/>
      <c r="H277" s="333"/>
      <c r="I277" s="333"/>
      <c r="J277" s="333"/>
    </row>
    <row r="278" ht="15.75" customHeight="1" spans="1:10">
      <c r="A278" s="355">
        <v>256</v>
      </c>
      <c r="B278" s="356"/>
      <c r="C278" s="356"/>
      <c r="D278" s="355">
        <v>256</v>
      </c>
      <c r="E278" s="356"/>
      <c r="F278" s="356"/>
      <c r="G278" s="333"/>
      <c r="H278" s="333"/>
      <c r="I278" s="333"/>
      <c r="J278" s="333"/>
    </row>
    <row r="279" ht="15.75" customHeight="1" spans="1:10">
      <c r="A279" s="355">
        <v>257</v>
      </c>
      <c r="B279" s="356"/>
      <c r="C279" s="356"/>
      <c r="D279" s="355">
        <v>257</v>
      </c>
      <c r="E279" s="356"/>
      <c r="F279" s="356"/>
      <c r="G279" s="333"/>
      <c r="H279" s="333"/>
      <c r="I279" s="333"/>
      <c r="J279" s="333"/>
    </row>
    <row r="280" ht="15.75" customHeight="1" spans="1:10">
      <c r="A280" s="355">
        <v>258</v>
      </c>
      <c r="B280" s="356"/>
      <c r="C280" s="356"/>
      <c r="D280" s="355">
        <v>258</v>
      </c>
      <c r="E280" s="356"/>
      <c r="F280" s="356"/>
      <c r="G280" s="333"/>
      <c r="H280" s="333"/>
      <c r="I280" s="333"/>
      <c r="J280" s="333"/>
    </row>
    <row r="281" ht="15.75" customHeight="1" spans="1:10">
      <c r="A281" s="355">
        <v>259</v>
      </c>
      <c r="B281" s="356"/>
      <c r="C281" s="356"/>
      <c r="D281" s="355">
        <v>259</v>
      </c>
      <c r="E281" s="356"/>
      <c r="F281" s="356"/>
      <c r="G281" s="333"/>
      <c r="H281" s="333"/>
      <c r="I281" s="333"/>
      <c r="J281" s="333"/>
    </row>
    <row r="282" ht="15.75" customHeight="1" spans="1:10">
      <c r="A282" s="355">
        <v>260</v>
      </c>
      <c r="B282" s="356"/>
      <c r="C282" s="356"/>
      <c r="D282" s="355">
        <v>260</v>
      </c>
      <c r="E282" s="356"/>
      <c r="F282" s="356"/>
      <c r="G282" s="333"/>
      <c r="H282" s="333"/>
      <c r="I282" s="333"/>
      <c r="J282" s="333"/>
    </row>
    <row r="283" ht="15.75" customHeight="1" spans="1:10">
      <c r="A283" s="355">
        <v>261</v>
      </c>
      <c r="B283" s="356"/>
      <c r="C283" s="356"/>
      <c r="D283" s="355">
        <v>261</v>
      </c>
      <c r="E283" s="356"/>
      <c r="F283" s="356"/>
      <c r="G283" s="333"/>
      <c r="H283" s="333"/>
      <c r="I283" s="333"/>
      <c r="J283" s="333"/>
    </row>
    <row r="284" ht="15.75" customHeight="1" spans="1:10">
      <c r="A284" s="355">
        <v>262</v>
      </c>
      <c r="B284" s="356"/>
      <c r="C284" s="356"/>
      <c r="D284" s="355">
        <v>262</v>
      </c>
      <c r="E284" s="356"/>
      <c r="F284" s="356"/>
      <c r="G284" s="333"/>
      <c r="H284" s="333"/>
      <c r="I284" s="333"/>
      <c r="J284" s="333"/>
    </row>
    <row r="285" ht="15.75" customHeight="1" spans="1:10">
      <c r="A285" s="355">
        <v>263</v>
      </c>
      <c r="B285" s="356"/>
      <c r="C285" s="356"/>
      <c r="D285" s="355">
        <v>263</v>
      </c>
      <c r="E285" s="356"/>
      <c r="F285" s="356"/>
      <c r="G285" s="333"/>
      <c r="H285" s="333"/>
      <c r="I285" s="333"/>
      <c r="J285" s="333"/>
    </row>
    <row r="286" ht="15.75" customHeight="1" spans="1:10">
      <c r="A286" s="355">
        <v>264</v>
      </c>
      <c r="B286" s="356"/>
      <c r="C286" s="356"/>
      <c r="D286" s="355">
        <v>264</v>
      </c>
      <c r="E286" s="356"/>
      <c r="F286" s="356"/>
      <c r="G286" s="333"/>
      <c r="H286" s="333"/>
      <c r="I286" s="333"/>
      <c r="J286" s="333"/>
    </row>
    <row r="287" ht="15.75" customHeight="1" spans="1:10">
      <c r="A287" s="355">
        <v>265</v>
      </c>
      <c r="B287" s="356"/>
      <c r="C287" s="356"/>
      <c r="D287" s="355">
        <v>265</v>
      </c>
      <c r="E287" s="356"/>
      <c r="F287" s="356"/>
      <c r="G287" s="333"/>
      <c r="H287" s="333"/>
      <c r="I287" s="333"/>
      <c r="J287" s="333"/>
    </row>
    <row r="288" ht="15.75" customHeight="1" spans="1:10">
      <c r="A288" s="355">
        <v>266</v>
      </c>
      <c r="B288" s="356"/>
      <c r="C288" s="356"/>
      <c r="D288" s="355">
        <v>266</v>
      </c>
      <c r="E288" s="356"/>
      <c r="F288" s="356"/>
      <c r="G288" s="333"/>
      <c r="H288" s="333"/>
      <c r="I288" s="333"/>
      <c r="J288" s="333"/>
    </row>
    <row r="289" ht="15.75" customHeight="1" spans="1:10">
      <c r="A289" s="355">
        <v>267</v>
      </c>
      <c r="B289" s="356"/>
      <c r="C289" s="356"/>
      <c r="D289" s="355">
        <v>267</v>
      </c>
      <c r="E289" s="356"/>
      <c r="F289" s="356"/>
      <c r="G289" s="333"/>
      <c r="H289" s="333"/>
      <c r="I289" s="333"/>
      <c r="J289" s="333"/>
    </row>
    <row r="290" ht="15.75" customHeight="1" spans="1:10">
      <c r="A290" s="355">
        <v>268</v>
      </c>
      <c r="B290" s="356"/>
      <c r="C290" s="356"/>
      <c r="D290" s="355">
        <v>268</v>
      </c>
      <c r="E290" s="356"/>
      <c r="F290" s="356"/>
      <c r="G290" s="333"/>
      <c r="H290" s="333"/>
      <c r="I290" s="333"/>
      <c r="J290" s="333"/>
    </row>
    <row r="291" ht="15.75" customHeight="1" spans="1:10">
      <c r="A291" s="355">
        <v>269</v>
      </c>
      <c r="B291" s="356"/>
      <c r="C291" s="356"/>
      <c r="D291" s="355">
        <v>269</v>
      </c>
      <c r="E291" s="356"/>
      <c r="F291" s="356"/>
      <c r="G291" s="333"/>
      <c r="H291" s="333"/>
      <c r="I291" s="333"/>
      <c r="J291" s="333"/>
    </row>
    <row r="292" ht="15.75" customHeight="1" spans="1:10">
      <c r="A292" s="355">
        <v>270</v>
      </c>
      <c r="B292" s="356"/>
      <c r="C292" s="356"/>
      <c r="D292" s="355">
        <v>270</v>
      </c>
      <c r="E292" s="356"/>
      <c r="F292" s="356"/>
      <c r="G292" s="333"/>
      <c r="H292" s="333"/>
      <c r="I292" s="333"/>
      <c r="J292" s="333"/>
    </row>
    <row r="293" ht="15.75" customHeight="1" spans="1:10">
      <c r="A293" s="355">
        <v>271</v>
      </c>
      <c r="B293" s="356"/>
      <c r="C293" s="356"/>
      <c r="D293" s="355">
        <v>271</v>
      </c>
      <c r="E293" s="356"/>
      <c r="F293" s="356"/>
      <c r="G293" s="333"/>
      <c r="H293" s="333"/>
      <c r="I293" s="333"/>
      <c r="J293" s="333"/>
    </row>
    <row r="294" ht="15.75" customHeight="1" spans="1:10">
      <c r="A294" s="355">
        <v>272</v>
      </c>
      <c r="B294" s="356"/>
      <c r="C294" s="356"/>
      <c r="D294" s="355">
        <v>272</v>
      </c>
      <c r="E294" s="356"/>
      <c r="F294" s="356"/>
      <c r="G294" s="333"/>
      <c r="H294" s="333"/>
      <c r="I294" s="333"/>
      <c r="J294" s="333"/>
    </row>
    <row r="295" ht="15.75" customHeight="1" spans="1:10">
      <c r="A295" s="355">
        <v>273</v>
      </c>
      <c r="B295" s="356"/>
      <c r="C295" s="356"/>
      <c r="D295" s="355">
        <v>273</v>
      </c>
      <c r="E295" s="356"/>
      <c r="F295" s="356"/>
      <c r="G295" s="333"/>
      <c r="H295" s="333"/>
      <c r="I295" s="333"/>
      <c r="J295" s="333"/>
    </row>
    <row r="296" ht="15.75" customHeight="1" spans="1:10">
      <c r="A296" s="355">
        <v>274</v>
      </c>
      <c r="B296" s="356"/>
      <c r="C296" s="356"/>
      <c r="D296" s="355">
        <v>274</v>
      </c>
      <c r="E296" s="356"/>
      <c r="F296" s="356"/>
      <c r="G296" s="333"/>
      <c r="H296" s="333"/>
      <c r="I296" s="333"/>
      <c r="J296" s="333"/>
    </row>
    <row r="297" ht="15.75" customHeight="1" spans="1:10">
      <c r="A297" s="355">
        <v>275</v>
      </c>
      <c r="B297" s="356"/>
      <c r="C297" s="356"/>
      <c r="D297" s="355">
        <v>275</v>
      </c>
      <c r="E297" s="356"/>
      <c r="F297" s="356"/>
      <c r="G297" s="333"/>
      <c r="H297" s="333"/>
      <c r="I297" s="333"/>
      <c r="J297" s="333"/>
    </row>
    <row r="298" ht="15.75" customHeight="1" spans="1:10">
      <c r="A298" s="355">
        <v>276</v>
      </c>
      <c r="B298" s="356"/>
      <c r="C298" s="356"/>
      <c r="D298" s="355">
        <v>276</v>
      </c>
      <c r="E298" s="356"/>
      <c r="F298" s="356"/>
      <c r="G298" s="333"/>
      <c r="H298" s="333"/>
      <c r="I298" s="333"/>
      <c r="J298" s="333"/>
    </row>
    <row r="299" ht="15.75" customHeight="1" spans="1:10">
      <c r="A299" s="355">
        <v>277</v>
      </c>
      <c r="B299" s="356"/>
      <c r="C299" s="356"/>
      <c r="D299" s="355">
        <v>277</v>
      </c>
      <c r="E299" s="356"/>
      <c r="F299" s="356"/>
      <c r="G299" s="333"/>
      <c r="H299" s="333"/>
      <c r="I299" s="333"/>
      <c r="J299" s="333"/>
    </row>
    <row r="300" ht="15.75" customHeight="1" spans="1:10">
      <c r="A300" s="355">
        <v>278</v>
      </c>
      <c r="B300" s="356"/>
      <c r="C300" s="356"/>
      <c r="D300" s="355">
        <v>278</v>
      </c>
      <c r="E300" s="356"/>
      <c r="F300" s="356"/>
      <c r="G300" s="333"/>
      <c r="H300" s="333"/>
      <c r="I300" s="333"/>
      <c r="J300" s="333"/>
    </row>
    <row r="301" ht="15.75" customHeight="1" spans="1:10">
      <c r="A301" s="355">
        <v>279</v>
      </c>
      <c r="B301" s="356"/>
      <c r="C301" s="356"/>
      <c r="D301" s="355">
        <v>279</v>
      </c>
      <c r="E301" s="356"/>
      <c r="F301" s="356"/>
      <c r="G301" s="333"/>
      <c r="H301" s="333"/>
      <c r="I301" s="333"/>
      <c r="J301" s="333"/>
    </row>
    <row r="302" ht="15.75" customHeight="1" spans="1:10">
      <c r="A302" s="355">
        <v>280</v>
      </c>
      <c r="B302" s="356"/>
      <c r="C302" s="356"/>
      <c r="D302" s="355">
        <v>280</v>
      </c>
      <c r="E302" s="356"/>
      <c r="F302" s="356"/>
      <c r="G302" s="333"/>
      <c r="H302" s="333"/>
      <c r="I302" s="333"/>
      <c r="J302" s="333"/>
    </row>
    <row r="303" ht="15.75" customHeight="1" spans="1:10">
      <c r="A303" s="355">
        <v>281</v>
      </c>
      <c r="B303" s="356"/>
      <c r="C303" s="356"/>
      <c r="D303" s="355">
        <v>281</v>
      </c>
      <c r="E303" s="356"/>
      <c r="F303" s="356"/>
      <c r="G303" s="333"/>
      <c r="H303" s="333"/>
      <c r="I303" s="333"/>
      <c r="J303" s="333"/>
    </row>
    <row r="304" ht="15.75" customHeight="1" spans="1:10">
      <c r="A304" s="355">
        <v>282</v>
      </c>
      <c r="B304" s="356"/>
      <c r="C304" s="356"/>
      <c r="D304" s="355">
        <v>282</v>
      </c>
      <c r="E304" s="356"/>
      <c r="F304" s="356"/>
      <c r="G304" s="333"/>
      <c r="H304" s="333"/>
      <c r="I304" s="333"/>
      <c r="J304" s="333"/>
    </row>
    <row r="305" ht="15.75" customHeight="1" spans="1:10">
      <c r="A305" s="355">
        <v>283</v>
      </c>
      <c r="B305" s="356"/>
      <c r="C305" s="356"/>
      <c r="D305" s="355">
        <v>283</v>
      </c>
      <c r="E305" s="356"/>
      <c r="F305" s="356"/>
      <c r="G305" s="333"/>
      <c r="H305" s="333"/>
      <c r="I305" s="333"/>
      <c r="J305" s="333"/>
    </row>
    <row r="306" ht="15.75" customHeight="1" spans="1:10">
      <c r="A306" s="355">
        <v>284</v>
      </c>
      <c r="B306" s="356"/>
      <c r="C306" s="356"/>
      <c r="D306" s="355">
        <v>284</v>
      </c>
      <c r="E306" s="356"/>
      <c r="F306" s="356"/>
      <c r="G306" s="333"/>
      <c r="H306" s="333"/>
      <c r="I306" s="333"/>
      <c r="J306" s="333"/>
    </row>
    <row r="307" ht="15.75" customHeight="1" spans="1:10">
      <c r="A307" s="355">
        <v>285</v>
      </c>
      <c r="B307" s="356"/>
      <c r="C307" s="356"/>
      <c r="D307" s="355">
        <v>285</v>
      </c>
      <c r="E307" s="356"/>
      <c r="F307" s="356"/>
      <c r="G307" s="333"/>
      <c r="H307" s="333"/>
      <c r="I307" s="333"/>
      <c r="J307" s="333"/>
    </row>
    <row r="308" ht="15.75" customHeight="1" spans="1:10">
      <c r="A308" s="355">
        <v>286</v>
      </c>
      <c r="B308" s="356"/>
      <c r="C308" s="356"/>
      <c r="D308" s="355">
        <v>286</v>
      </c>
      <c r="E308" s="356"/>
      <c r="F308" s="356"/>
      <c r="G308" s="333"/>
      <c r="H308" s="333"/>
      <c r="I308" s="333"/>
      <c r="J308" s="333"/>
    </row>
    <row r="309" ht="15.75" customHeight="1" spans="1:10">
      <c r="A309" s="355">
        <v>287</v>
      </c>
      <c r="B309" s="356"/>
      <c r="C309" s="356"/>
      <c r="D309" s="355">
        <v>287</v>
      </c>
      <c r="E309" s="356"/>
      <c r="F309" s="356"/>
      <c r="G309" s="333"/>
      <c r="H309" s="333"/>
      <c r="I309" s="333"/>
      <c r="J309" s="333"/>
    </row>
    <row r="310" ht="15.75" customHeight="1" spans="1:10">
      <c r="A310" s="355">
        <v>288</v>
      </c>
      <c r="B310" s="356"/>
      <c r="C310" s="356"/>
      <c r="D310" s="355">
        <v>288</v>
      </c>
      <c r="E310" s="356"/>
      <c r="F310" s="356"/>
      <c r="G310" s="333"/>
      <c r="H310" s="333"/>
      <c r="I310" s="333"/>
      <c r="J310" s="333"/>
    </row>
    <row r="311" ht="15.75" customHeight="1" spans="1:10">
      <c r="A311" s="355">
        <v>289</v>
      </c>
      <c r="B311" s="356"/>
      <c r="C311" s="356"/>
      <c r="D311" s="355">
        <v>289</v>
      </c>
      <c r="E311" s="356"/>
      <c r="F311" s="356"/>
      <c r="G311" s="333"/>
      <c r="H311" s="333"/>
      <c r="I311" s="333"/>
      <c r="J311" s="333"/>
    </row>
    <row r="312" ht="15.75" customHeight="1" spans="1:10">
      <c r="A312" s="355">
        <v>290</v>
      </c>
      <c r="B312" s="356"/>
      <c r="C312" s="356"/>
      <c r="D312" s="355">
        <v>290</v>
      </c>
      <c r="E312" s="356"/>
      <c r="F312" s="356"/>
      <c r="G312" s="333"/>
      <c r="H312" s="333"/>
      <c r="I312" s="333"/>
      <c r="J312" s="333"/>
    </row>
    <row r="313" ht="15.75" customHeight="1" spans="1:10">
      <c r="A313" s="355">
        <v>291</v>
      </c>
      <c r="B313" s="356"/>
      <c r="C313" s="356"/>
      <c r="D313" s="355">
        <v>291</v>
      </c>
      <c r="E313" s="356"/>
      <c r="F313" s="356"/>
      <c r="G313" s="333"/>
      <c r="H313" s="333"/>
      <c r="I313" s="333"/>
      <c r="J313" s="333"/>
    </row>
    <row r="314" ht="15.75" customHeight="1" spans="1:10">
      <c r="A314" s="355">
        <v>292</v>
      </c>
      <c r="B314" s="356"/>
      <c r="C314" s="356"/>
      <c r="D314" s="355">
        <v>292</v>
      </c>
      <c r="E314" s="356"/>
      <c r="F314" s="356"/>
      <c r="G314" s="333"/>
      <c r="H314" s="333"/>
      <c r="I314" s="333"/>
      <c r="J314" s="333"/>
    </row>
    <row r="315" ht="15.75" customHeight="1" spans="1:10">
      <c r="A315" s="355">
        <v>293</v>
      </c>
      <c r="B315" s="356"/>
      <c r="C315" s="356"/>
      <c r="D315" s="355">
        <v>293</v>
      </c>
      <c r="E315" s="356"/>
      <c r="F315" s="356"/>
      <c r="G315" s="333"/>
      <c r="H315" s="333"/>
      <c r="I315" s="333"/>
      <c r="J315" s="333"/>
    </row>
    <row r="316" ht="15.75" customHeight="1" spans="1:10">
      <c r="A316" s="355">
        <v>294</v>
      </c>
      <c r="B316" s="356"/>
      <c r="C316" s="356"/>
      <c r="D316" s="355">
        <v>294</v>
      </c>
      <c r="E316" s="356"/>
      <c r="F316" s="356"/>
      <c r="G316" s="333"/>
      <c r="H316" s="333"/>
      <c r="I316" s="333"/>
      <c r="J316" s="333"/>
    </row>
    <row r="317" ht="15.75" customHeight="1" spans="1:10">
      <c r="A317" s="355">
        <v>295</v>
      </c>
      <c r="B317" s="356"/>
      <c r="C317" s="356"/>
      <c r="D317" s="355">
        <v>295</v>
      </c>
      <c r="E317" s="356"/>
      <c r="F317" s="356"/>
      <c r="G317" s="333"/>
      <c r="H317" s="333"/>
      <c r="I317" s="333"/>
      <c r="J317" s="333"/>
    </row>
    <row r="318" ht="15.75" customHeight="1" spans="1:10">
      <c r="A318" s="355">
        <v>296</v>
      </c>
      <c r="B318" s="356"/>
      <c r="C318" s="356"/>
      <c r="D318" s="355">
        <v>296</v>
      </c>
      <c r="E318" s="356"/>
      <c r="F318" s="356"/>
      <c r="G318" s="333"/>
      <c r="H318" s="333"/>
      <c r="I318" s="333"/>
      <c r="J318" s="333"/>
    </row>
    <row r="319" ht="15.75" customHeight="1" spans="1:10">
      <c r="A319" s="355">
        <v>297</v>
      </c>
      <c r="B319" s="356"/>
      <c r="C319" s="356"/>
      <c r="D319" s="355">
        <v>297</v>
      </c>
      <c r="E319" s="356"/>
      <c r="F319" s="356"/>
      <c r="G319" s="333"/>
      <c r="H319" s="333"/>
      <c r="I319" s="333"/>
      <c r="J319" s="333"/>
    </row>
    <row r="320" ht="15.75" customHeight="1" spans="1:10">
      <c r="A320" s="355">
        <v>298</v>
      </c>
      <c r="B320" s="356"/>
      <c r="C320" s="356"/>
      <c r="D320" s="355">
        <v>298</v>
      </c>
      <c r="E320" s="356"/>
      <c r="F320" s="356"/>
      <c r="G320" s="333"/>
      <c r="H320" s="333"/>
      <c r="I320" s="333"/>
      <c r="J320" s="333"/>
    </row>
    <row r="321" ht="15.75" customHeight="1" spans="1:10">
      <c r="A321" s="355">
        <v>299</v>
      </c>
      <c r="B321" s="356"/>
      <c r="C321" s="356"/>
      <c r="D321" s="355">
        <v>299</v>
      </c>
      <c r="E321" s="356"/>
      <c r="F321" s="356"/>
      <c r="G321" s="333"/>
      <c r="H321" s="333"/>
      <c r="I321" s="333"/>
      <c r="J321" s="333"/>
    </row>
    <row r="322" s="327" customFormat="1" spans="1:10">
      <c r="A322" s="355">
        <v>300</v>
      </c>
      <c r="B322" s="356"/>
      <c r="C322" s="356"/>
      <c r="D322" s="355">
        <v>300</v>
      </c>
      <c r="E322" s="356"/>
      <c r="F322" s="356"/>
      <c r="G322" s="333"/>
      <c r="H322" s="333"/>
      <c r="I322" s="333"/>
      <c r="J322" s="333"/>
    </row>
    <row r="323" s="327" customFormat="1" spans="1:10">
      <c r="A323" s="333"/>
      <c r="B323" s="333"/>
      <c r="C323" s="333"/>
      <c r="D323" s="333"/>
      <c r="E323" s="334"/>
      <c r="F323" s="333"/>
      <c r="G323" s="333"/>
      <c r="H323" s="333"/>
      <c r="I323" s="333"/>
      <c r="J323" s="333"/>
    </row>
    <row r="324" s="327" customFormat="1" ht="28.5" spans="1:10">
      <c r="A324" s="333"/>
      <c r="B324" s="350" t="s">
        <v>164</v>
      </c>
      <c r="C324" s="351" t="str">
        <f>IF(OR(AND(B4="да",SUM(C8:C14)&gt;0,SUM(B23:B322,E23:E322)&gt;0,SUM(C23:C322,F23:F322)&gt;0),AND(B4="нет",SUM(C8:C14)=0,SUM(B23:B322,E23:E322)=0,SUM(C23:C322,F23:F322)=0)),"Готово","Заполните данные")</f>
        <v>Готово</v>
      </c>
      <c r="D324" s="333"/>
      <c r="E324" s="334"/>
      <c r="F324" s="333"/>
      <c r="G324" s="333"/>
      <c r="H324" s="333"/>
      <c r="I324" s="333"/>
      <c r="J324" s="333"/>
    </row>
    <row r="325" spans="1:9">
      <c r="A325" s="333"/>
      <c r="B325" s="333"/>
      <c r="C325" s="333"/>
      <c r="D325" s="333"/>
      <c r="E325" s="334"/>
      <c r="F325" s="333"/>
      <c r="G325" s="333"/>
      <c r="H325" s="333"/>
      <c r="I325" s="333"/>
    </row>
    <row r="331" hidden="1" spans="7:10">
      <c r="G331" s="333"/>
      <c r="H331" s="333"/>
      <c r="I331" s="333"/>
      <c r="J331" s="333"/>
    </row>
    <row r="332" hidden="1" spans="1:6">
      <c r="A332" s="333"/>
      <c r="B332" s="333"/>
      <c r="C332" s="333"/>
      <c r="D332" s="333"/>
      <c r="E332" s="333"/>
      <c r="F332" s="333"/>
    </row>
  </sheetData>
  <sheetProtection algorithmName="SHA-512" hashValue="iSHZm4nMQnS7ypx4NvzDMfRiW/2Q5CM7SPGihPVXC/NoLnagM62UVJDYFhJ2mQ8NHEIV6GvLS/Q4nsg28n2SKg==" saltValue="O6TQUtJvPMcsN5g9ZRccXw==" spinCount="100000" sheet="1" objects="1" scenarios="1"/>
  <mergeCells count="9">
    <mergeCell ref="E3:G3"/>
    <mergeCell ref="E4:G4"/>
    <mergeCell ref="A6:C6"/>
    <mergeCell ref="E7:G7"/>
    <mergeCell ref="E8:G8"/>
    <mergeCell ref="A19:F19"/>
    <mergeCell ref="A20:F20"/>
    <mergeCell ref="A21:C21"/>
    <mergeCell ref="D21:F21"/>
  </mergeCells>
  <conditionalFormatting sqref="B4">
    <cfRule type="cellIs" dxfId="3" priority="9" operator="equal">
      <formula>"Пожалуйста, выберите…"</formula>
    </cfRule>
  </conditionalFormatting>
  <conditionalFormatting sqref="C17">
    <cfRule type="containsText" dxfId="1" priority="1" operator="between" text="Готово">
      <formula>NOT(ISERROR(SEARCH("Готово",C17)))</formula>
    </cfRule>
    <cfRule type="containsText" dxfId="4" priority="2" operator="between" text="Заполните данные">
      <formula>NOT(ISERROR(SEARCH("Заполните данные",C17)))</formula>
    </cfRule>
  </conditionalFormatting>
  <conditionalFormatting sqref="C324">
    <cfRule type="containsText" dxfId="1" priority="6" operator="between" text="Готово">
      <formula>NOT(ISERROR(SEARCH("Готово",C324)))</formula>
    </cfRule>
    <cfRule type="containsText" dxfId="4" priority="7" operator="between" text="Заполните данные">
      <formula>NOT(ISERROR(SEARCH("Заполните данные",C324)))</formula>
    </cfRule>
  </conditionalFormatting>
  <conditionalFormatting sqref="C8:C14;A23:F322">
    <cfRule type="expression" dxfId="6" priority="3">
      <formula>$B$4="Пожалуйста, выберите…"</formula>
    </cfRule>
    <cfRule type="expression" dxfId="6" priority="8">
      <formula>$B$4="нет"</formula>
    </cfRule>
  </conditionalFormatting>
  <dataValidations count="3">
    <dataValidation type="list" allowBlank="1" showInputMessage="1" showErrorMessage="1" sqref="B4">
      <formula1>danet</formula1>
    </dataValidation>
    <dataValidation type="decimal" operator="between" allowBlank="1" showInputMessage="1" showErrorMessage="1" sqref="B23:B322 E23:E322">
      <formula1>0</formula1>
      <formula2>10000000</formula2>
    </dataValidation>
    <dataValidation type="decimal" operator="between" allowBlank="1" showInputMessage="1" showErrorMessage="1" sqref="C23:C322 F23:F322">
      <formula1>0</formula1>
      <formula2>200</formula2>
    </dataValidation>
  </dataValidations>
  <hyperlinks>
    <hyperlink ref="C1" location="'0.Результаты расчета'!A1" display="Перейти к результатам расчета потенциала и ЦУС"/>
  </hyperlink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Лист3">
    <tabColor rgb="FF92D050"/>
  </sheetPr>
  <dimension ref="A1:G452"/>
  <sheetViews>
    <sheetView topLeftCell="A10" workbookViewId="0">
      <selection activeCell="E223" sqref="E219:I223"/>
    </sheetView>
  </sheetViews>
  <sheetFormatPr defaultColWidth="8.72380952380952" defaultRowHeight="15" outlineLevelCol="6"/>
  <cols>
    <col min="5" max="5" width="9.45714285714286" customWidth="1"/>
    <col min="6" max="6" width="8.72380952380952" style="64"/>
    <col min="7" max="7" width="9.45714285714286" style="64" customWidth="1"/>
  </cols>
  <sheetData>
    <row r="1" ht="15.75" spans="4:5">
      <c r="D1" s="65">
        <v>0.1</v>
      </c>
      <c r="E1" s="65">
        <v>0.4</v>
      </c>
    </row>
    <row r="2" ht="23.25" customHeight="1" spans="1:7">
      <c r="A2" s="252" t="s">
        <v>165</v>
      </c>
      <c r="B2" s="67" t="s">
        <v>166</v>
      </c>
      <c r="C2" s="68"/>
      <c r="D2" s="69"/>
      <c r="E2" s="70">
        <f>(1-E57)^(1/3)-1</f>
        <v>-0.0287889312965853</v>
      </c>
      <c r="F2" s="70">
        <f>(1-F57)^(1/3)-1</f>
        <v>-0.0305714109793407</v>
      </c>
      <c r="G2" s="70"/>
    </row>
    <row r="3" ht="72.75" spans="1:7">
      <c r="A3" s="253"/>
      <c r="B3" s="72" t="s">
        <v>167</v>
      </c>
      <c r="C3" s="72"/>
      <c r="D3" s="72" t="s">
        <v>168</v>
      </c>
      <c r="E3" s="72" t="s">
        <v>169</v>
      </c>
      <c r="F3" s="73" t="s">
        <v>169</v>
      </c>
      <c r="G3" s="73"/>
    </row>
    <row r="4" ht="16.5" customHeight="1" spans="1:7">
      <c r="A4" s="254"/>
      <c r="B4" s="72" t="s">
        <v>170</v>
      </c>
      <c r="C4" s="72"/>
      <c r="D4" s="72" t="s">
        <v>171</v>
      </c>
      <c r="E4" s="72" t="s">
        <v>171</v>
      </c>
      <c r="F4" s="73" t="s">
        <v>171</v>
      </c>
      <c r="G4" s="73"/>
    </row>
    <row r="5" spans="1:7">
      <c r="A5" s="75">
        <v>1</v>
      </c>
      <c r="B5" s="76">
        <v>2</v>
      </c>
      <c r="C5" s="76"/>
      <c r="D5" s="76">
        <v>3</v>
      </c>
      <c r="E5" s="76">
        <v>4</v>
      </c>
      <c r="F5" s="77">
        <v>5</v>
      </c>
      <c r="G5" s="77"/>
    </row>
    <row r="6" spans="1:7">
      <c r="A6" s="530" t="s">
        <v>172</v>
      </c>
      <c r="B6" s="79">
        <v>2.27653680980449</v>
      </c>
      <c r="C6" s="79">
        <v>0</v>
      </c>
      <c r="D6" s="80">
        <v>0</v>
      </c>
      <c r="E6" s="80">
        <v>0</v>
      </c>
      <c r="F6" s="81">
        <v>0</v>
      </c>
      <c r="G6" s="81">
        <v>0</v>
      </c>
    </row>
    <row r="7" spans="1:7">
      <c r="A7" s="530" t="s">
        <v>173</v>
      </c>
      <c r="B7" s="79">
        <v>3.58736020819208</v>
      </c>
      <c r="C7" s="79">
        <f>B6</f>
        <v>2.27653680980449</v>
      </c>
      <c r="D7" s="80">
        <v>0</v>
      </c>
      <c r="E7" s="80">
        <v>0</v>
      </c>
      <c r="F7" s="81">
        <v>0</v>
      </c>
      <c r="G7" s="81">
        <v>0</v>
      </c>
    </row>
    <row r="8" spans="1:7">
      <c r="A8" s="530" t="s">
        <v>174</v>
      </c>
      <c r="B8" s="79">
        <v>4.0057005574179</v>
      </c>
      <c r="C8" s="79">
        <f t="shared" ref="C8:C56" si="0">B7</f>
        <v>3.58736020819208</v>
      </c>
      <c r="D8" s="80">
        <v>0</v>
      </c>
      <c r="E8" s="80">
        <v>0</v>
      </c>
      <c r="F8" s="81">
        <v>0</v>
      </c>
      <c r="G8" s="81">
        <v>0</v>
      </c>
    </row>
    <row r="9" spans="1:7">
      <c r="A9" s="530" t="s">
        <v>175</v>
      </c>
      <c r="B9" s="79">
        <v>5.88983401488019</v>
      </c>
      <c r="C9" s="79">
        <f t="shared" si="0"/>
        <v>4.0057005574179</v>
      </c>
      <c r="D9" s="80">
        <v>0</v>
      </c>
      <c r="E9" s="80">
        <v>0</v>
      </c>
      <c r="F9" s="81"/>
      <c r="G9" s="81"/>
    </row>
    <row r="10" spans="1:7">
      <c r="A10" s="530" t="s">
        <v>176</v>
      </c>
      <c r="B10" s="79">
        <v>7.55533125240298</v>
      </c>
      <c r="C10" s="79">
        <f t="shared" si="0"/>
        <v>5.88983401488019</v>
      </c>
      <c r="D10" s="80">
        <v>0</v>
      </c>
      <c r="E10" s="80">
        <v>0</v>
      </c>
      <c r="F10" s="81"/>
      <c r="G10" s="81"/>
    </row>
    <row r="11" spans="1:7">
      <c r="A11" s="530" t="s">
        <v>177</v>
      </c>
      <c r="B11" s="79">
        <v>10.558342184919</v>
      </c>
      <c r="C11" s="79">
        <f t="shared" si="0"/>
        <v>7.55533125240298</v>
      </c>
      <c r="D11" s="80">
        <v>0</v>
      </c>
      <c r="E11" s="80">
        <v>0</v>
      </c>
      <c r="F11" s="81"/>
      <c r="G11" s="81"/>
    </row>
    <row r="12" spans="1:7">
      <c r="A12" s="530" t="s">
        <v>178</v>
      </c>
      <c r="B12" s="79">
        <v>11.6397442953288</v>
      </c>
      <c r="C12" s="79">
        <f t="shared" si="0"/>
        <v>10.558342184919</v>
      </c>
      <c r="D12" s="80">
        <v>0</v>
      </c>
      <c r="E12" s="80">
        <v>0</v>
      </c>
      <c r="F12" s="81"/>
      <c r="G12" s="81"/>
    </row>
    <row r="13" spans="1:7">
      <c r="A13" s="78" t="s">
        <v>179</v>
      </c>
      <c r="B13" s="79">
        <v>12.3295229973225</v>
      </c>
      <c r="C13" s="79">
        <f t="shared" si="0"/>
        <v>11.6397442953288</v>
      </c>
      <c r="D13" s="80">
        <v>0</v>
      </c>
      <c r="E13" s="80">
        <v>0</v>
      </c>
      <c r="F13" s="81"/>
      <c r="G13" s="81"/>
    </row>
    <row r="14" spans="1:7">
      <c r="A14" s="78" t="s">
        <v>180</v>
      </c>
      <c r="B14" s="79">
        <v>12.7605588326149</v>
      </c>
      <c r="C14" s="79">
        <f t="shared" si="0"/>
        <v>12.3295229973225</v>
      </c>
      <c r="D14" s="80">
        <v>0</v>
      </c>
      <c r="E14" s="80">
        <v>0</v>
      </c>
      <c r="F14" s="81"/>
      <c r="G14" s="81"/>
    </row>
    <row r="15" spans="1:7">
      <c r="A15" s="78" t="s">
        <v>181</v>
      </c>
      <c r="B15" s="79">
        <v>13.2017366322162</v>
      </c>
      <c r="C15" s="79">
        <f t="shared" si="0"/>
        <v>12.7605588326149</v>
      </c>
      <c r="D15" s="80">
        <v>0</v>
      </c>
      <c r="E15" s="80">
        <v>0</v>
      </c>
      <c r="F15" s="81"/>
      <c r="G15" s="81"/>
    </row>
    <row r="16" spans="1:7">
      <c r="A16" s="78" t="s">
        <v>182</v>
      </c>
      <c r="B16" s="79">
        <v>13.8679477465299</v>
      </c>
      <c r="C16" s="79">
        <f t="shared" si="0"/>
        <v>13.2017366322162</v>
      </c>
      <c r="D16" s="80">
        <v>0</v>
      </c>
      <c r="E16" s="80">
        <v>0</v>
      </c>
      <c r="F16" s="81"/>
      <c r="G16" s="81"/>
    </row>
    <row r="17" spans="1:7">
      <c r="A17" s="78" t="s">
        <v>183</v>
      </c>
      <c r="B17" s="79">
        <v>14.7022946192337</v>
      </c>
      <c r="C17" s="79">
        <f t="shared" si="0"/>
        <v>13.8679477465299</v>
      </c>
      <c r="D17" s="80">
        <v>0</v>
      </c>
      <c r="E17" s="80">
        <v>0</v>
      </c>
      <c r="F17" s="81"/>
      <c r="G17" s="81"/>
    </row>
    <row r="18" spans="1:7">
      <c r="A18" s="78" t="s">
        <v>184</v>
      </c>
      <c r="B18" s="79">
        <v>15.243475285566</v>
      </c>
      <c r="C18" s="79">
        <f t="shared" si="0"/>
        <v>14.7022946192337</v>
      </c>
      <c r="D18" s="80">
        <v>0</v>
      </c>
      <c r="E18" s="80">
        <v>0</v>
      </c>
      <c r="F18" s="81"/>
      <c r="G18" s="81"/>
    </row>
    <row r="19" spans="1:7">
      <c r="A19" s="78" t="s">
        <v>185</v>
      </c>
      <c r="B19" s="79">
        <v>16.2493609152211</v>
      </c>
      <c r="C19" s="79">
        <f t="shared" si="0"/>
        <v>15.243475285566</v>
      </c>
      <c r="D19" s="80">
        <v>0</v>
      </c>
      <c r="E19" s="80">
        <v>0</v>
      </c>
      <c r="F19" s="81"/>
      <c r="G19" s="81"/>
    </row>
    <row r="20" spans="1:7">
      <c r="A20" s="78" t="s">
        <v>186</v>
      </c>
      <c r="B20" s="79">
        <v>17.4815020124136</v>
      </c>
      <c r="C20" s="79">
        <f t="shared" si="0"/>
        <v>16.2493609152211</v>
      </c>
      <c r="D20" s="80">
        <v>0</v>
      </c>
      <c r="E20" s="80">
        <v>0</v>
      </c>
      <c r="F20" s="81"/>
      <c r="G20" s="81"/>
    </row>
    <row r="21" spans="1:7">
      <c r="A21" s="78" t="s">
        <v>187</v>
      </c>
      <c r="B21" s="79">
        <v>18.1182295552888</v>
      </c>
      <c r="C21" s="79">
        <f t="shared" si="0"/>
        <v>17.4815020124136</v>
      </c>
      <c r="D21" s="80">
        <v>0.0132660208255435</v>
      </c>
      <c r="E21" s="80"/>
      <c r="F21" s="81"/>
      <c r="G21" s="81"/>
    </row>
    <row r="22" spans="1:7">
      <c r="A22" s="78" t="s">
        <v>188</v>
      </c>
      <c r="B22" s="79">
        <v>19.2029941081866</v>
      </c>
      <c r="C22" s="79">
        <f t="shared" si="0"/>
        <v>18.1182295552888</v>
      </c>
      <c r="D22" s="80">
        <v>0.0690059766739899</v>
      </c>
      <c r="E22" s="80"/>
      <c r="F22" s="81"/>
      <c r="G22" s="81"/>
    </row>
    <row r="23" spans="1:7">
      <c r="A23" s="78" t="s">
        <v>189</v>
      </c>
      <c r="B23" s="79">
        <v>20.0269604762234</v>
      </c>
      <c r="C23" s="79">
        <f t="shared" si="0"/>
        <v>19.2029941081866</v>
      </c>
      <c r="D23" s="80">
        <v>0.107309730504962</v>
      </c>
      <c r="E23" s="80">
        <v>0.0107309730504962</v>
      </c>
      <c r="F23" s="81">
        <v>0.0141085523372141</v>
      </c>
      <c r="G23" s="81">
        <v>0.220242317636067</v>
      </c>
    </row>
    <row r="24" spans="1:7">
      <c r="A24" s="78" t="s">
        <v>190</v>
      </c>
      <c r="B24" s="79">
        <v>21.0500119843279</v>
      </c>
      <c r="C24" s="79">
        <f t="shared" si="0"/>
        <v>20.0269604762234</v>
      </c>
      <c r="D24" s="80">
        <v>0.150695365019426</v>
      </c>
      <c r="E24" s="80">
        <v>0.0150695365019426</v>
      </c>
      <c r="F24" s="81">
        <v>0.0182829620776986</v>
      </c>
      <c r="G24" s="81">
        <v>0.228978719694779</v>
      </c>
    </row>
    <row r="25" spans="1:7">
      <c r="A25" s="78" t="s">
        <v>191</v>
      </c>
      <c r="B25" s="79">
        <v>22.8221371399889</v>
      </c>
      <c r="C25" s="79">
        <f t="shared" si="0"/>
        <v>21.0500119843279</v>
      </c>
      <c r="D25" s="80">
        <v>0.216643356622342</v>
      </c>
      <c r="E25" s="80">
        <v>0.0216643356622342</v>
      </c>
      <c r="F25" s="81">
        <v>0.0246282406841651</v>
      </c>
      <c r="G25" s="81">
        <v>0.242258418748519</v>
      </c>
    </row>
    <row r="26" spans="1:7">
      <c r="A26" s="78" t="s">
        <v>192</v>
      </c>
      <c r="B26" s="79">
        <v>23.2341416082016</v>
      </c>
      <c r="C26" s="79">
        <f t="shared" si="0"/>
        <v>22.8221371399889</v>
      </c>
      <c r="D26" s="80">
        <v>0.230534398637931</v>
      </c>
      <c r="E26" s="80">
        <v>0.0230534398637931</v>
      </c>
      <c r="F26" s="81">
        <v>0.0259647867954366</v>
      </c>
      <c r="G26" s="81">
        <v>0.245055605638161</v>
      </c>
    </row>
    <row r="27" spans="1:7">
      <c r="A27" s="78" t="s">
        <v>193</v>
      </c>
      <c r="B27" s="79">
        <v>24.1344658634325</v>
      </c>
      <c r="C27" s="79">
        <f t="shared" si="0"/>
        <v>23.2341416082016</v>
      </c>
      <c r="D27" s="80">
        <v>0.259238930505022</v>
      </c>
      <c r="E27" s="80">
        <v>0.0259238930505022</v>
      </c>
      <c r="F27" s="81">
        <v>0.0287266336316765</v>
      </c>
      <c r="G27" s="81">
        <v>0.250835729269047</v>
      </c>
    </row>
    <row r="28" spans="1:7">
      <c r="A28" s="78" t="s">
        <v>194</v>
      </c>
      <c r="B28" s="79">
        <v>24.9154931896339</v>
      </c>
      <c r="C28" s="79">
        <f t="shared" si="0"/>
        <v>24.1344658634325</v>
      </c>
      <c r="D28" s="80">
        <v>0.282459608219819</v>
      </c>
      <c r="E28" s="80">
        <v>0.0282459608219819</v>
      </c>
      <c r="F28" s="81">
        <v>0.0309608437410385</v>
      </c>
      <c r="G28" s="81">
        <v>0.255511589812808</v>
      </c>
    </row>
    <row r="29" spans="1:7">
      <c r="A29" s="78" t="s">
        <v>195</v>
      </c>
      <c r="B29" s="79">
        <v>26.3991742033422</v>
      </c>
      <c r="C29" s="79">
        <f t="shared" si="0"/>
        <v>24.9154931896339</v>
      </c>
      <c r="D29" s="80">
        <v>0.322786667227533</v>
      </c>
      <c r="E29" s="80">
        <v>0.0322786667227533</v>
      </c>
      <c r="F29" s="81">
        <v>0.0348409683447428</v>
      </c>
      <c r="G29" s="81">
        <v>0.26363209802433</v>
      </c>
    </row>
    <row r="30" spans="1:7">
      <c r="A30" s="78" t="s">
        <v>196</v>
      </c>
      <c r="B30" s="79">
        <v>27.5381277172425</v>
      </c>
      <c r="C30" s="79">
        <f t="shared" si="0"/>
        <v>26.3991742033422</v>
      </c>
      <c r="D30" s="80">
        <v>0.350795634029528</v>
      </c>
      <c r="E30" s="80">
        <v>0.0350795634029528</v>
      </c>
      <c r="F30" s="81">
        <v>0.0375358904116352</v>
      </c>
      <c r="G30" s="81">
        <v>0.269272158333919</v>
      </c>
    </row>
    <row r="31" spans="1:7">
      <c r="A31" s="78" t="s">
        <v>197</v>
      </c>
      <c r="B31" s="79">
        <v>29.0583985661945</v>
      </c>
      <c r="C31" s="79">
        <f t="shared" si="0"/>
        <v>27.5381277172425</v>
      </c>
      <c r="D31" s="80">
        <v>0.384760564008341</v>
      </c>
      <c r="E31" s="80">
        <v>0.0384760564008341</v>
      </c>
      <c r="F31" s="81">
        <v>0.0448232430283932</v>
      </c>
      <c r="G31" s="81">
        <v>0.276111548549406</v>
      </c>
    </row>
    <row r="32" spans="1:7">
      <c r="A32" s="78" t="s">
        <v>198</v>
      </c>
      <c r="B32" s="79">
        <v>30.219482383663</v>
      </c>
      <c r="C32" s="79">
        <f t="shared" si="0"/>
        <v>29.0583985661945</v>
      </c>
      <c r="D32" s="80">
        <v>0.408399107644831</v>
      </c>
      <c r="E32" s="80">
        <v>0.0450394645868987</v>
      </c>
      <c r="F32" s="81">
        <v>0.0584697370227318</v>
      </c>
      <c r="G32" s="81">
        <v>0.28087155318232</v>
      </c>
    </row>
    <row r="33" spans="1:7">
      <c r="A33" s="78" t="s">
        <v>199</v>
      </c>
      <c r="B33" s="79">
        <v>30.9191812600246</v>
      </c>
      <c r="C33" s="79">
        <f t="shared" si="0"/>
        <v>30.219482383663</v>
      </c>
      <c r="D33" s="80">
        <v>0.4217869938296</v>
      </c>
      <c r="E33" s="80">
        <v>0.0530721962977599</v>
      </c>
      <c r="F33" s="81">
        <v>0.0661985426220458</v>
      </c>
      <c r="G33" s="81">
        <v>0.283567421474564</v>
      </c>
    </row>
    <row r="34" spans="1:7">
      <c r="A34" s="78" t="s">
        <v>200</v>
      </c>
      <c r="B34" s="79">
        <v>31.5265930403245</v>
      </c>
      <c r="C34" s="79">
        <f t="shared" si="0"/>
        <v>30.9191812600246</v>
      </c>
      <c r="D34" s="80">
        <v>0.432927220463708</v>
      </c>
      <c r="E34" s="80">
        <v>0.0597563322782247</v>
      </c>
      <c r="F34" s="81">
        <v>0.0726297779043771</v>
      </c>
      <c r="G34" s="81">
        <v>0.285810687016026</v>
      </c>
    </row>
    <row r="35" spans="1:7">
      <c r="A35" s="78" t="s">
        <v>201</v>
      </c>
      <c r="B35" s="79">
        <v>31.7697881470511</v>
      </c>
      <c r="C35" s="79">
        <f t="shared" si="0"/>
        <v>31.5265930403245</v>
      </c>
      <c r="D35" s="80">
        <v>0.437268115798067</v>
      </c>
      <c r="E35" s="80">
        <v>0.0623608694788401</v>
      </c>
      <c r="F35" s="81">
        <v>0.075135769940999</v>
      </c>
      <c r="G35" s="81">
        <v>0.286684796784389</v>
      </c>
    </row>
    <row r="36" spans="1:7">
      <c r="A36" s="78" t="s">
        <v>202</v>
      </c>
      <c r="B36" s="79">
        <v>32.4923873109237</v>
      </c>
      <c r="C36" s="79">
        <f t="shared" si="0"/>
        <v>31.7697881470511</v>
      </c>
      <c r="D36" s="80">
        <v>0.449782726839652</v>
      </c>
      <c r="E36" s="80">
        <v>0.0698696361037909</v>
      </c>
      <c r="F36" s="81">
        <v>0.0823604351761635</v>
      </c>
      <c r="G36" s="81">
        <v>0.289204816945238</v>
      </c>
    </row>
    <row r="37" spans="1:7">
      <c r="A37" s="78" t="s">
        <v>203</v>
      </c>
      <c r="B37" s="79">
        <v>35.1949827185408</v>
      </c>
      <c r="C37" s="79">
        <f t="shared" si="0"/>
        <v>32.4923873109237</v>
      </c>
      <c r="D37" s="80">
        <v>0.49203348421398</v>
      </c>
      <c r="E37" s="80">
        <v>0.0952200905283882</v>
      </c>
      <c r="F37" s="81">
        <v>0.106751730834285</v>
      </c>
      <c r="G37" s="81">
        <v>0.297712693062255</v>
      </c>
    </row>
    <row r="38" spans="1:7">
      <c r="A38" s="78" t="s">
        <v>204</v>
      </c>
      <c r="B38" s="79">
        <v>37.2283934184972</v>
      </c>
      <c r="C38" s="79">
        <f t="shared" si="0"/>
        <v>35.1949827185408</v>
      </c>
      <c r="D38" s="80">
        <v>0.519778558700748</v>
      </c>
      <c r="E38" s="80">
        <v>0.111867135220449</v>
      </c>
      <c r="F38" s="81">
        <v>0.12276891861787</v>
      </c>
      <c r="G38" s="81">
        <v>0.303299614368765</v>
      </c>
    </row>
    <row r="39" spans="1:7">
      <c r="A39" s="78" t="s">
        <v>205</v>
      </c>
      <c r="B39" s="79">
        <v>38.3620990334525</v>
      </c>
      <c r="C39" s="79">
        <f t="shared" si="0"/>
        <v>37.2283934184972</v>
      </c>
      <c r="D39" s="80">
        <v>0.53397042406109</v>
      </c>
      <c r="E39" s="80">
        <v>0.120382254436654</v>
      </c>
      <c r="F39" s="81">
        <v>0.130961860128421</v>
      </c>
      <c r="G39" s="81">
        <v>0.306157376924012</v>
      </c>
    </row>
    <row r="40" spans="1:7">
      <c r="A40" s="78" t="s">
        <v>206</v>
      </c>
      <c r="B40" s="79">
        <v>39.7317549774625</v>
      </c>
      <c r="C40" s="79">
        <f t="shared" si="0"/>
        <v>38.3620990334525</v>
      </c>
      <c r="D40" s="80">
        <v>0.550035664046871</v>
      </c>
      <c r="E40" s="80">
        <v>0.130021398428123</v>
      </c>
      <c r="F40" s="81">
        <v>0.140236297858381</v>
      </c>
      <c r="G40" s="81">
        <v>0.309392373882249</v>
      </c>
    </row>
    <row r="41" spans="1:7">
      <c r="A41" s="78" t="s">
        <v>207</v>
      </c>
      <c r="B41" s="79">
        <v>40.6392305917742</v>
      </c>
      <c r="C41" s="79">
        <f t="shared" si="0"/>
        <v>39.7317549774625</v>
      </c>
      <c r="D41" s="80">
        <v>0.560083385330996</v>
      </c>
      <c r="E41" s="80">
        <v>0.136050031198598</v>
      </c>
      <c r="F41" s="81">
        <v>0.146036831523617</v>
      </c>
      <c r="G41" s="81">
        <v>0.311415645730048</v>
      </c>
    </row>
    <row r="42" spans="1:7">
      <c r="A42" s="78" t="s">
        <v>208</v>
      </c>
      <c r="B42" s="79">
        <v>42.2090277683988</v>
      </c>
      <c r="C42" s="79">
        <f t="shared" si="0"/>
        <v>40.6392305917742</v>
      </c>
      <c r="D42" s="80">
        <v>0.576444336913366</v>
      </c>
      <c r="E42" s="80">
        <v>0.14586660214802</v>
      </c>
      <c r="F42" s="81">
        <v>0.155481983092338</v>
      </c>
      <c r="G42" s="81">
        <v>0.314710189020386</v>
      </c>
    </row>
    <row r="43" spans="1:7">
      <c r="A43" s="78" t="s">
        <v>209</v>
      </c>
      <c r="B43" s="79">
        <v>43.3149129971952</v>
      </c>
      <c r="C43" s="79">
        <f t="shared" si="0"/>
        <v>42.2090277683988</v>
      </c>
      <c r="D43" s="80">
        <v>0.58725825569951</v>
      </c>
      <c r="E43" s="80">
        <v>0.152354953419706</v>
      </c>
      <c r="F43" s="81">
        <v>0.161724841368199</v>
      </c>
      <c r="G43" s="81">
        <v>0.316887747177673</v>
      </c>
    </row>
    <row r="44" spans="1:7">
      <c r="A44" s="78" t="s">
        <v>210</v>
      </c>
      <c r="B44" s="79">
        <v>45.4681394622214</v>
      </c>
      <c r="C44" s="79">
        <f t="shared" si="0"/>
        <v>43.3149129971952</v>
      </c>
      <c r="D44" s="80">
        <v>0.606804391907421</v>
      </c>
      <c r="E44" s="80">
        <v>0.164082635144453</v>
      </c>
      <c r="F44" s="81">
        <v>0.173008795002383</v>
      </c>
      <c r="G44" s="81">
        <v>0.320823679117304</v>
      </c>
    </row>
    <row r="45" spans="1:7">
      <c r="A45" s="78" t="s">
        <v>211</v>
      </c>
      <c r="B45" s="79">
        <v>46.9516256935553</v>
      </c>
      <c r="C45" s="79">
        <f t="shared" si="0"/>
        <v>45.4681394622214</v>
      </c>
      <c r="D45" s="80">
        <v>0.61922782266642</v>
      </c>
      <c r="E45" s="80">
        <v>0.171536693599852</v>
      </c>
      <c r="F45" s="81">
        <v>0.180180822004082</v>
      </c>
      <c r="G45" s="81">
        <v>0.323325338647557</v>
      </c>
    </row>
    <row r="46" spans="1:7">
      <c r="A46" s="78" t="s">
        <v>212</v>
      </c>
      <c r="B46" s="79">
        <v>48.4372405838607</v>
      </c>
      <c r="C46" s="79">
        <f t="shared" si="0"/>
        <v>46.9516256935553</v>
      </c>
      <c r="D46" s="80">
        <v>0.630906456908215</v>
      </c>
      <c r="E46" s="80">
        <v>0.178543874144929</v>
      </c>
      <c r="F46" s="81">
        <v>0.186922879149968</v>
      </c>
      <c r="G46" s="81">
        <v>0.325677021304151</v>
      </c>
    </row>
    <row r="47" spans="1:7">
      <c r="A47" s="78" t="s">
        <v>213</v>
      </c>
      <c r="B47" s="79">
        <v>51.1776593079736</v>
      </c>
      <c r="C47" s="79">
        <f t="shared" si="0"/>
        <v>48.4372405838607</v>
      </c>
      <c r="D47" s="80">
        <v>0.650670370891681</v>
      </c>
      <c r="E47" s="80">
        <v>0.190402222535009</v>
      </c>
      <c r="F47" s="81">
        <v>0.198332555550829</v>
      </c>
      <c r="G47" s="81">
        <v>0.329656806335433</v>
      </c>
    </row>
    <row r="48" spans="1:7">
      <c r="A48" s="78" t="s">
        <v>214</v>
      </c>
      <c r="B48" s="79">
        <v>54.2407450061936</v>
      </c>
      <c r="C48" s="79">
        <f t="shared" si="0"/>
        <v>51.1776593079736</v>
      </c>
      <c r="D48" s="80">
        <v>0.67039772881724</v>
      </c>
      <c r="E48" s="80">
        <v>0.202238637290344</v>
      </c>
      <c r="F48" s="81">
        <v>0.209721128197062</v>
      </c>
      <c r="G48" s="81">
        <v>0.333629230210814</v>
      </c>
    </row>
    <row r="49" spans="1:7">
      <c r="A49" s="78" t="s">
        <v>215</v>
      </c>
      <c r="B49" s="79">
        <v>55.9973926381933</v>
      </c>
      <c r="C49" s="79">
        <f t="shared" si="0"/>
        <v>54.2407450061936</v>
      </c>
      <c r="D49" s="80">
        <v>0.68073740753971</v>
      </c>
      <c r="E49" s="80">
        <v>0.208442444523826</v>
      </c>
      <c r="F49" s="81">
        <v>0.21569020843142</v>
      </c>
      <c r="G49" s="81">
        <v>0.335711292429987</v>
      </c>
    </row>
    <row r="50" spans="1:7">
      <c r="A50" s="78" t="s">
        <v>216</v>
      </c>
      <c r="B50" s="79">
        <v>61.4429267063543</v>
      </c>
      <c r="C50" s="79">
        <f t="shared" si="0"/>
        <v>55.9973926381933</v>
      </c>
      <c r="D50" s="80">
        <v>0.709032858572516</v>
      </c>
      <c r="E50" s="80">
        <v>0.22541971514351</v>
      </c>
      <c r="F50" s="81">
        <v>0.232025127727811</v>
      </c>
      <c r="G50" s="81">
        <v>0.341409040991732</v>
      </c>
    </row>
    <row r="51" spans="1:7">
      <c r="A51" s="78" t="s">
        <v>217</v>
      </c>
      <c r="B51" s="79">
        <v>67.7500675749821</v>
      </c>
      <c r="C51" s="79">
        <f t="shared" si="0"/>
        <v>61.4429267063543</v>
      </c>
      <c r="D51" s="80">
        <v>0.736120222686124</v>
      </c>
      <c r="E51" s="80">
        <v>0.241672133611674</v>
      </c>
      <c r="F51" s="81">
        <v>0.247662620349319</v>
      </c>
      <c r="G51" s="81">
        <v>0.346863521633898</v>
      </c>
    </row>
    <row r="52" spans="1:7">
      <c r="A52" s="78" t="s">
        <v>218</v>
      </c>
      <c r="B52" s="79">
        <v>79.0812947481393</v>
      </c>
      <c r="C52" s="79">
        <f t="shared" si="0"/>
        <v>67.7500675749821</v>
      </c>
      <c r="D52" s="80">
        <v>0.773930449651534</v>
      </c>
      <c r="E52" s="80">
        <v>0.264358269790921</v>
      </c>
      <c r="F52" s="81">
        <v>0.269490404799269</v>
      </c>
      <c r="G52" s="81">
        <v>0.354477224842292</v>
      </c>
    </row>
    <row r="53" spans="1:7">
      <c r="A53" s="78" t="s">
        <v>219</v>
      </c>
      <c r="B53" s="79">
        <v>87.5095294510066</v>
      </c>
      <c r="C53" s="79">
        <f t="shared" si="0"/>
        <v>79.0812947481393</v>
      </c>
      <c r="D53" s="80">
        <v>0.795703703849813</v>
      </c>
      <c r="E53" s="80">
        <v>0.277422222309888</v>
      </c>
      <c r="F53" s="81">
        <v>0.282060070140045</v>
      </c>
      <c r="G53" s="81">
        <v>0.358861623155961</v>
      </c>
    </row>
    <row r="54" spans="1:7">
      <c r="A54" s="78" t="s">
        <v>220</v>
      </c>
      <c r="B54" s="79">
        <v>125.280954461458</v>
      </c>
      <c r="C54" s="79">
        <f t="shared" si="0"/>
        <v>87.5095294510066</v>
      </c>
      <c r="D54" s="80">
        <v>0.857297760688866</v>
      </c>
      <c r="E54" s="80">
        <v>0.314378656413319</v>
      </c>
      <c r="F54" s="81">
        <v>0.317618222100116</v>
      </c>
      <c r="G54" s="81">
        <v>0.371264586740457</v>
      </c>
    </row>
    <row r="55" spans="1:7">
      <c r="A55" s="78" t="s">
        <v>221</v>
      </c>
      <c r="B55" s="79">
        <v>167.878470291707</v>
      </c>
      <c r="C55" s="79">
        <f t="shared" si="0"/>
        <v>125.280954461458</v>
      </c>
      <c r="D55" s="80">
        <v>0.893507054754421</v>
      </c>
      <c r="E55" s="80">
        <v>0.336104232852652</v>
      </c>
      <c r="F55" s="81">
        <v>0.338521790509553</v>
      </c>
      <c r="G55" s="81">
        <v>0.37855591611155</v>
      </c>
    </row>
    <row r="56" spans="1:7">
      <c r="A56" s="78" t="s">
        <v>221</v>
      </c>
      <c r="B56" s="82" t="s">
        <v>345</v>
      </c>
      <c r="C56" s="79">
        <f t="shared" si="0"/>
        <v>167.878470291707</v>
      </c>
      <c r="D56" s="83">
        <v>49.1</v>
      </c>
      <c r="E56" s="83"/>
      <c r="F56" s="84"/>
      <c r="G56" s="84"/>
    </row>
    <row r="57" spans="1:7">
      <c r="A57" s="78"/>
      <c r="B57" s="82"/>
      <c r="C57" s="82"/>
      <c r="D57" s="83"/>
      <c r="E57" s="85">
        <v>0.0839042465342654</v>
      </c>
      <c r="F57" s="86">
        <v>0.0889389718123804</v>
      </c>
      <c r="G57" s="86">
        <v>0.234543022536818</v>
      </c>
    </row>
    <row r="58" ht="48" spans="1:7">
      <c r="A58" s="87" t="s">
        <v>233</v>
      </c>
      <c r="B58" s="82">
        <v>10</v>
      </c>
      <c r="C58" s="82"/>
      <c r="D58" s="83"/>
      <c r="E58" s="127">
        <v>29.7964545744772</v>
      </c>
      <c r="F58" s="128">
        <v>28.6690771264704</v>
      </c>
      <c r="G58" s="129">
        <v>10</v>
      </c>
    </row>
    <row r="59" ht="48" spans="1:7">
      <c r="A59" s="87" t="s">
        <v>224</v>
      </c>
      <c r="B59" s="82">
        <v>35.12</v>
      </c>
      <c r="C59" s="82"/>
      <c r="D59" s="83"/>
      <c r="E59" s="83"/>
      <c r="F59" s="84"/>
      <c r="G59" s="84"/>
    </row>
    <row r="60" ht="84" spans="1:7">
      <c r="A60" s="106" t="s">
        <v>225</v>
      </c>
      <c r="B60" s="78">
        <v>6</v>
      </c>
      <c r="C60" s="78"/>
      <c r="D60" s="83"/>
      <c r="E60" s="83">
        <v>17.8778727446863</v>
      </c>
      <c r="F60" s="84">
        <v>17.2014462758822</v>
      </c>
      <c r="G60" s="84">
        <v>6</v>
      </c>
    </row>
    <row r="62" ht="48.75" spans="1:2">
      <c r="A62" s="256" t="s">
        <v>224</v>
      </c>
      <c r="B62">
        <f>B59</f>
        <v>35.12</v>
      </c>
    </row>
    <row r="63" spans="1:3">
      <c r="A63" s="531" t="s">
        <v>226</v>
      </c>
      <c r="B63" s="95">
        <f>AVERAGE(B11:B50)</f>
        <v>29.7964545744772</v>
      </c>
      <c r="C63" s="95"/>
    </row>
    <row r="64" spans="1:3">
      <c r="A64" s="531" t="s">
        <v>227</v>
      </c>
      <c r="B64" s="96">
        <f>AVERAGE(B16:B45)</f>
        <v>28.6690771264704</v>
      </c>
      <c r="C64" s="96"/>
    </row>
    <row r="65" spans="1:3">
      <c r="A65" s="531" t="s">
        <v>228</v>
      </c>
      <c r="B65" s="96">
        <f>AVERAGE(B22:B40)</f>
        <v>28.7277140603534</v>
      </c>
      <c r="C65" s="96"/>
    </row>
    <row r="69" customHeight="1" spans="1:7">
      <c r="A69" s="83" t="s">
        <v>165</v>
      </c>
      <c r="B69" s="83" t="s">
        <v>229</v>
      </c>
      <c r="C69" s="83"/>
      <c r="D69" s="83"/>
      <c r="E69" s="98">
        <f>(1-E124)^(1/3)-1</f>
        <v>-0.0245033452337637</v>
      </c>
      <c r="F69" s="98">
        <f>(1-F124)^(1/3)-1</f>
        <v>-0.0255093435139392</v>
      </c>
      <c r="G69" s="98"/>
    </row>
    <row r="70" ht="72" spans="1:7">
      <c r="A70" s="83"/>
      <c r="B70" s="83" t="s">
        <v>167</v>
      </c>
      <c r="C70" s="83"/>
      <c r="D70" s="83" t="s">
        <v>168</v>
      </c>
      <c r="E70" s="83" t="s">
        <v>169</v>
      </c>
      <c r="F70" s="84" t="s">
        <v>169</v>
      </c>
      <c r="G70" s="84"/>
    </row>
    <row r="71" ht="24" spans="1:7">
      <c r="A71" s="83"/>
      <c r="B71" s="83" t="s">
        <v>230</v>
      </c>
      <c r="C71" s="83"/>
      <c r="D71" s="83" t="s">
        <v>171</v>
      </c>
      <c r="E71" s="83" t="s">
        <v>171</v>
      </c>
      <c r="F71" s="84" t="s">
        <v>171</v>
      </c>
      <c r="G71" s="84"/>
    </row>
    <row r="72" ht="15.75" spans="1:7">
      <c r="A72" s="75">
        <v>1</v>
      </c>
      <c r="B72" s="76">
        <v>2</v>
      </c>
      <c r="C72" s="76"/>
      <c r="D72" s="76">
        <v>3</v>
      </c>
      <c r="E72" s="76">
        <v>4</v>
      </c>
      <c r="F72" s="77">
        <v>5</v>
      </c>
      <c r="G72" s="77"/>
    </row>
    <row r="73" ht="15.75" spans="1:7">
      <c r="A73" s="530" t="s">
        <v>172</v>
      </c>
      <c r="B73" s="324">
        <v>19.25</v>
      </c>
      <c r="C73" s="102">
        <v>0</v>
      </c>
      <c r="D73" s="80">
        <v>0</v>
      </c>
      <c r="E73" s="80">
        <v>0</v>
      </c>
      <c r="F73" s="81">
        <v>0</v>
      </c>
      <c r="G73" s="81">
        <v>0</v>
      </c>
    </row>
    <row r="74" ht="15.75" spans="1:7">
      <c r="A74" s="530" t="s">
        <v>173</v>
      </c>
      <c r="B74" s="325">
        <v>21.07</v>
      </c>
      <c r="C74" s="79">
        <f>B73</f>
        <v>19.25</v>
      </c>
      <c r="D74" s="80">
        <v>0</v>
      </c>
      <c r="E74" s="80">
        <v>0</v>
      </c>
      <c r="F74" s="81">
        <v>0</v>
      </c>
      <c r="G74" s="81">
        <v>0.00261034646416707</v>
      </c>
    </row>
    <row r="75" ht="15.75" spans="1:7">
      <c r="A75" s="530" t="s">
        <v>174</v>
      </c>
      <c r="B75" s="325">
        <v>24.88</v>
      </c>
      <c r="C75" s="79">
        <f t="shared" ref="C75:C123" si="1">B74</f>
        <v>21.07</v>
      </c>
      <c r="D75" s="80">
        <v>0</v>
      </c>
      <c r="E75" s="80">
        <v>0</v>
      </c>
      <c r="F75" s="81">
        <v>0</v>
      </c>
      <c r="G75" s="81">
        <v>0.017524115755627</v>
      </c>
    </row>
    <row r="76" ht="15.75" spans="1:7">
      <c r="A76" s="530" t="s">
        <v>175</v>
      </c>
      <c r="B76" s="325">
        <v>28.87</v>
      </c>
      <c r="C76" s="79">
        <f t="shared" si="1"/>
        <v>24.88</v>
      </c>
      <c r="D76" s="80">
        <v>0</v>
      </c>
      <c r="E76" s="80">
        <v>0</v>
      </c>
      <c r="F76" s="81">
        <v>0</v>
      </c>
      <c r="G76" s="81">
        <v>0.0289227571873918</v>
      </c>
    </row>
    <row r="77" ht="15.75" spans="1:7">
      <c r="A77" s="530" t="s">
        <v>176</v>
      </c>
      <c r="B77" s="325">
        <v>30.56</v>
      </c>
      <c r="C77" s="79">
        <f t="shared" si="1"/>
        <v>28.87</v>
      </c>
      <c r="D77" s="80">
        <v>0</v>
      </c>
      <c r="E77" s="80">
        <v>0</v>
      </c>
      <c r="F77" s="81">
        <v>0</v>
      </c>
      <c r="G77" s="81">
        <v>0.0328534031413613</v>
      </c>
    </row>
    <row r="78" ht="15.75" spans="1:7">
      <c r="A78" s="530" t="s">
        <v>177</v>
      </c>
      <c r="B78" s="325">
        <v>31.86</v>
      </c>
      <c r="C78" s="79">
        <f t="shared" si="1"/>
        <v>30.56</v>
      </c>
      <c r="D78" s="80">
        <v>0</v>
      </c>
      <c r="E78" s="80"/>
      <c r="F78" s="81"/>
      <c r="G78" s="81"/>
    </row>
    <row r="79" ht="15.75" spans="1:7">
      <c r="A79" s="530" t="s">
        <v>178</v>
      </c>
      <c r="B79" s="325">
        <v>32.68</v>
      </c>
      <c r="C79" s="79">
        <f t="shared" si="1"/>
        <v>31.86</v>
      </c>
      <c r="D79" s="80">
        <v>0</v>
      </c>
      <c r="E79" s="80"/>
      <c r="F79" s="81"/>
      <c r="G79" s="81"/>
    </row>
    <row r="80" ht="15.75" spans="1:7">
      <c r="A80" s="78" t="s">
        <v>179</v>
      </c>
      <c r="B80" s="325">
        <v>34.52</v>
      </c>
      <c r="C80" s="79">
        <f t="shared" si="1"/>
        <v>32.68</v>
      </c>
      <c r="D80" s="80">
        <v>0.00788818076477408</v>
      </c>
      <c r="E80" s="80"/>
      <c r="F80" s="81"/>
      <c r="G80" s="81"/>
    </row>
    <row r="81" ht="15.75" spans="1:7">
      <c r="A81" s="78" t="s">
        <v>180</v>
      </c>
      <c r="B81" s="325">
        <v>35.58</v>
      </c>
      <c r="C81" s="79">
        <f t="shared" si="1"/>
        <v>34.52</v>
      </c>
      <c r="D81" s="80">
        <v>0.0374451939291736</v>
      </c>
      <c r="E81" s="80"/>
      <c r="F81" s="81"/>
      <c r="G81" s="81"/>
    </row>
    <row r="82" ht="15.75" spans="1:7">
      <c r="A82" s="78" t="s">
        <v>181</v>
      </c>
      <c r="B82" s="325">
        <v>37.34</v>
      </c>
      <c r="C82" s="79">
        <f t="shared" si="1"/>
        <v>35.58</v>
      </c>
      <c r="D82" s="80">
        <v>0.0828146759507231</v>
      </c>
      <c r="E82" s="80"/>
      <c r="F82" s="81"/>
      <c r="G82" s="81"/>
    </row>
    <row r="83" ht="15.75" spans="1:7">
      <c r="A83" s="78" t="s">
        <v>182</v>
      </c>
      <c r="B83" s="325">
        <v>40.24</v>
      </c>
      <c r="C83" s="79">
        <f t="shared" si="1"/>
        <v>37.34</v>
      </c>
      <c r="D83" s="80">
        <v>0.148914015904573</v>
      </c>
      <c r="E83" s="80">
        <v>0.0148914015904573</v>
      </c>
      <c r="F83" s="81">
        <v>0.0165546719681909</v>
      </c>
      <c r="G83" s="81">
        <v>0.0940357852882704</v>
      </c>
    </row>
    <row r="84" ht="15.75" spans="1:7">
      <c r="A84" s="78" t="s">
        <v>183</v>
      </c>
      <c r="B84" s="325">
        <v>40.74</v>
      </c>
      <c r="C84" s="79">
        <f t="shared" si="1"/>
        <v>40.24</v>
      </c>
      <c r="D84" s="80">
        <v>0.159359351988218</v>
      </c>
      <c r="E84" s="80">
        <v>0.0159359351988218</v>
      </c>
      <c r="F84" s="81">
        <v>0.0175787923416789</v>
      </c>
      <c r="G84" s="81">
        <v>0.0977908689248895</v>
      </c>
    </row>
    <row r="85" ht="15.75" spans="1:7">
      <c r="A85" s="78" t="s">
        <v>184</v>
      </c>
      <c r="B85" s="325">
        <v>41.17</v>
      </c>
      <c r="C85" s="79">
        <f t="shared" si="1"/>
        <v>40.74</v>
      </c>
      <c r="D85" s="80">
        <v>0.168139421909157</v>
      </c>
      <c r="E85" s="80">
        <v>0.0168139421909157</v>
      </c>
      <c r="F85" s="81">
        <v>0.0184396405149381</v>
      </c>
      <c r="G85" s="81">
        <v>0.10094729171727</v>
      </c>
    </row>
    <row r="86" ht="15.75" spans="1:7">
      <c r="A86" s="78" t="s">
        <v>185</v>
      </c>
      <c r="B86" s="325">
        <v>42.27</v>
      </c>
      <c r="C86" s="79">
        <f t="shared" si="1"/>
        <v>41.17</v>
      </c>
      <c r="D86" s="80">
        <v>0.189787083037615</v>
      </c>
      <c r="E86" s="80">
        <v>0.0189787083037615</v>
      </c>
      <c r="F86" s="81">
        <v>0.0205621007806955</v>
      </c>
      <c r="G86" s="81">
        <v>0.108729595457771</v>
      </c>
    </row>
    <row r="87" ht="15.75" spans="1:7">
      <c r="A87" s="78" t="s">
        <v>186</v>
      </c>
      <c r="B87" s="325">
        <v>43.06</v>
      </c>
      <c r="C87" s="79">
        <f t="shared" si="1"/>
        <v>42.27</v>
      </c>
      <c r="D87" s="80">
        <v>0.204651648862053</v>
      </c>
      <c r="E87" s="80">
        <v>0.0204651648862053</v>
      </c>
      <c r="F87" s="81">
        <v>0.022019507663725</v>
      </c>
      <c r="G87" s="81">
        <v>0.114073385973061</v>
      </c>
    </row>
    <row r="88" ht="15.75" spans="1:7">
      <c r="A88" s="78" t="s">
        <v>187</v>
      </c>
      <c r="B88" s="325">
        <v>43.64</v>
      </c>
      <c r="C88" s="79">
        <f t="shared" si="1"/>
        <v>43.06</v>
      </c>
      <c r="D88" s="80">
        <v>0.215222273143905</v>
      </c>
      <c r="E88" s="80">
        <v>0.0215222273143905</v>
      </c>
      <c r="F88" s="81">
        <v>0.0230559120073327</v>
      </c>
      <c r="G88" s="81">
        <v>0.117873510540788</v>
      </c>
    </row>
    <row r="89" ht="15.75" spans="1:7">
      <c r="A89" s="78" t="s">
        <v>188</v>
      </c>
      <c r="B89" s="325">
        <v>44.94</v>
      </c>
      <c r="C89" s="79">
        <f t="shared" si="1"/>
        <v>43.64</v>
      </c>
      <c r="D89" s="80">
        <v>0.237923898531375</v>
      </c>
      <c r="E89" s="80">
        <v>0.0237923898531375</v>
      </c>
      <c r="F89" s="81">
        <v>0.0252817089452603</v>
      </c>
      <c r="G89" s="81">
        <v>0.126034712950601</v>
      </c>
    </row>
    <row r="90" ht="15.75" spans="1:7">
      <c r="A90" s="78" t="s">
        <v>189</v>
      </c>
      <c r="B90" s="325">
        <v>45.86</v>
      </c>
      <c r="C90" s="79">
        <f t="shared" si="1"/>
        <v>44.94</v>
      </c>
      <c r="D90" s="80">
        <v>0.253211949411252</v>
      </c>
      <c r="E90" s="80">
        <v>0.0253211949411252</v>
      </c>
      <c r="F90" s="81">
        <v>0.0267806367204536</v>
      </c>
      <c r="G90" s="81">
        <v>0.131530745747928</v>
      </c>
    </row>
    <row r="91" ht="15.75" spans="1:7">
      <c r="A91" s="78" t="s">
        <v>190</v>
      </c>
      <c r="B91" s="325">
        <v>47.39</v>
      </c>
      <c r="C91" s="79">
        <f t="shared" si="1"/>
        <v>45.86</v>
      </c>
      <c r="D91" s="80">
        <v>0.277322219877611</v>
      </c>
      <c r="E91" s="80">
        <v>0.0277322219877611</v>
      </c>
      <c r="F91" s="81">
        <v>0.0291445452627137</v>
      </c>
      <c r="G91" s="81">
        <v>0.14019835408314</v>
      </c>
    </row>
    <row r="92" ht="15.75" spans="1:7">
      <c r="A92" s="78" t="s">
        <v>191</v>
      </c>
      <c r="B92" s="325">
        <v>48.4</v>
      </c>
      <c r="C92" s="79">
        <f t="shared" si="1"/>
        <v>47.39</v>
      </c>
      <c r="D92" s="80">
        <v>0.292402892561983</v>
      </c>
      <c r="E92" s="80">
        <v>0.0292402892561983</v>
      </c>
      <c r="F92" s="81">
        <v>0.0306231404958678</v>
      </c>
      <c r="G92" s="81">
        <v>0.145619834710744</v>
      </c>
    </row>
    <row r="93" ht="15.75" spans="1:7">
      <c r="A93" s="78" t="s">
        <v>192</v>
      </c>
      <c r="B93" s="325">
        <v>49.96</v>
      </c>
      <c r="C93" s="79">
        <f t="shared" si="1"/>
        <v>48.4</v>
      </c>
      <c r="D93" s="80">
        <v>0.314497598078463</v>
      </c>
      <c r="E93" s="80">
        <v>0.0314497598078463</v>
      </c>
      <c r="F93" s="81">
        <v>0.0327894315452362</v>
      </c>
      <c r="G93" s="81">
        <v>0.153562850280224</v>
      </c>
    </row>
    <row r="94" ht="15.75" spans="1:7">
      <c r="A94" s="78" t="s">
        <v>193</v>
      </c>
      <c r="B94" s="325">
        <v>50.71</v>
      </c>
      <c r="C94" s="79">
        <f t="shared" si="1"/>
        <v>49.96</v>
      </c>
      <c r="D94" s="80">
        <v>0.3246361664366</v>
      </c>
      <c r="E94" s="80">
        <v>0.03246361664366</v>
      </c>
      <c r="F94" s="81">
        <v>0.0337834746598304</v>
      </c>
      <c r="G94" s="81">
        <v>0.157207651350818</v>
      </c>
    </row>
    <row r="95" ht="15.75" spans="1:7">
      <c r="A95" s="78" t="s">
        <v>194</v>
      </c>
      <c r="B95" s="325">
        <v>51.43</v>
      </c>
      <c r="C95" s="79">
        <f t="shared" si="1"/>
        <v>50.71</v>
      </c>
      <c r="D95" s="80">
        <v>0.334090997472292</v>
      </c>
      <c r="E95" s="80">
        <v>0.0334090997472292</v>
      </c>
      <c r="F95" s="81">
        <v>0.0347104802644371</v>
      </c>
      <c r="G95" s="81">
        <v>0.160606649815283</v>
      </c>
    </row>
    <row r="96" ht="15.75" spans="1:7">
      <c r="A96" s="78" t="s">
        <v>195</v>
      </c>
      <c r="B96" s="325">
        <v>52.45</v>
      </c>
      <c r="C96" s="79">
        <f t="shared" si="1"/>
        <v>51.43</v>
      </c>
      <c r="D96" s="80">
        <v>0.3470409914204</v>
      </c>
      <c r="E96" s="80">
        <v>0.03470409914204</v>
      </c>
      <c r="F96" s="81">
        <v>0.0359801715919924</v>
      </c>
      <c r="G96" s="81">
        <v>0.165262154432793</v>
      </c>
    </row>
    <row r="97" ht="15.75" spans="1:7">
      <c r="A97" s="78" t="s">
        <v>196</v>
      </c>
      <c r="B97" s="325">
        <v>53.82</v>
      </c>
      <c r="C97" s="79">
        <f t="shared" si="1"/>
        <v>52.45</v>
      </c>
      <c r="D97" s="80">
        <v>0.363662207357859</v>
      </c>
      <c r="E97" s="80">
        <v>0.036366220735786</v>
      </c>
      <c r="F97" s="81">
        <v>0.0376098104793757</v>
      </c>
      <c r="G97" s="81">
        <v>0.17123745819398</v>
      </c>
    </row>
    <row r="98" ht="15.75" spans="1:7">
      <c r="A98" s="78" t="s">
        <v>197</v>
      </c>
      <c r="B98" s="325">
        <v>53.93</v>
      </c>
      <c r="C98" s="79">
        <f t="shared" si="1"/>
        <v>53.82</v>
      </c>
      <c r="D98" s="80">
        <v>0.364960133506397</v>
      </c>
      <c r="E98" s="80">
        <v>0.0364960133506397</v>
      </c>
      <c r="F98" s="81">
        <v>0.037737066567773</v>
      </c>
      <c r="G98" s="81">
        <v>0.171704060819581</v>
      </c>
    </row>
    <row r="99" ht="15.75" spans="1:7">
      <c r="A99" s="78" t="s">
        <v>198</v>
      </c>
      <c r="B99" s="325">
        <v>55.11</v>
      </c>
      <c r="C99" s="79">
        <f t="shared" si="1"/>
        <v>53.93</v>
      </c>
      <c r="D99" s="80">
        <v>0.378557430593359</v>
      </c>
      <c r="E99" s="80">
        <v>0.0378557430593359</v>
      </c>
      <c r="F99" s="81">
        <v>0.0390702231899837</v>
      </c>
      <c r="G99" s="81">
        <v>0.176592270005444</v>
      </c>
    </row>
    <row r="100" ht="15.75" spans="1:7">
      <c r="A100" s="78" t="s">
        <v>199</v>
      </c>
      <c r="B100" s="325">
        <v>56.06</v>
      </c>
      <c r="C100" s="79">
        <f t="shared" si="1"/>
        <v>55.11</v>
      </c>
      <c r="D100" s="80">
        <v>0.38908847663218</v>
      </c>
      <c r="E100" s="80">
        <v>0.038908847663218</v>
      </c>
      <c r="F100" s="81">
        <v>0.0406164823403496</v>
      </c>
      <c r="G100" s="81">
        <v>0.180378166250446</v>
      </c>
    </row>
    <row r="101" ht="15.75" spans="1:7">
      <c r="A101" s="78" t="s">
        <v>200</v>
      </c>
      <c r="B101" s="325">
        <v>57.55</v>
      </c>
      <c r="C101" s="79">
        <f t="shared" si="1"/>
        <v>56.06</v>
      </c>
      <c r="D101" s="80">
        <v>0.404905299739357</v>
      </c>
      <c r="E101" s="80">
        <v>0.0429431798436142</v>
      </c>
      <c r="F101" s="81">
        <v>0.0499211120764552</v>
      </c>
      <c r="G101" s="81">
        <v>0.186064291920069</v>
      </c>
    </row>
    <row r="102" ht="15.75" spans="1:7">
      <c r="A102" s="78" t="s">
        <v>201</v>
      </c>
      <c r="B102" s="325">
        <v>59.71</v>
      </c>
      <c r="C102" s="79">
        <f t="shared" si="1"/>
        <v>57.55</v>
      </c>
      <c r="D102" s="80">
        <v>0.426432758331938</v>
      </c>
      <c r="E102" s="80">
        <v>0.0558596549991626</v>
      </c>
      <c r="F102" s="81">
        <v>0.0625851616144699</v>
      </c>
      <c r="G102" s="81">
        <v>0.19380338301792</v>
      </c>
    </row>
    <row r="103" ht="15.75" spans="1:7">
      <c r="A103" s="78" t="s">
        <v>202</v>
      </c>
      <c r="B103" s="325">
        <v>60.54</v>
      </c>
      <c r="C103" s="79">
        <f t="shared" si="1"/>
        <v>59.71</v>
      </c>
      <c r="D103" s="80">
        <v>0.434296333002973</v>
      </c>
      <c r="E103" s="80">
        <v>0.0605777998017839</v>
      </c>
      <c r="F103" s="81">
        <v>0.067211100099108</v>
      </c>
      <c r="G103" s="81">
        <v>0.196630327056492</v>
      </c>
    </row>
    <row r="104" ht="15.75" spans="1:7">
      <c r="A104" s="78" t="s">
        <v>203</v>
      </c>
      <c r="B104" s="325">
        <v>62.97</v>
      </c>
      <c r="C104" s="79">
        <f t="shared" si="1"/>
        <v>60.54</v>
      </c>
      <c r="D104" s="80">
        <v>0.456126727012863</v>
      </c>
      <c r="E104" s="80">
        <v>0.0736760362077179</v>
      </c>
      <c r="F104" s="81">
        <v>0.0800533587422582</v>
      </c>
      <c r="G104" s="81">
        <v>0.204478323010958</v>
      </c>
    </row>
    <row r="105" ht="15.75" spans="1:7">
      <c r="A105" s="78" t="s">
        <v>204</v>
      </c>
      <c r="B105" s="325">
        <v>63.46</v>
      </c>
      <c r="C105" s="79">
        <f t="shared" si="1"/>
        <v>62.97</v>
      </c>
      <c r="D105" s="80">
        <v>0.460326189725812</v>
      </c>
      <c r="E105" s="80">
        <v>0.0761957138354869</v>
      </c>
      <c r="F105" s="81">
        <v>0.0825237945162307</v>
      </c>
      <c r="G105" s="81">
        <v>0.205988023952096</v>
      </c>
    </row>
    <row r="106" ht="15.75" spans="1:7">
      <c r="A106" s="78" t="s">
        <v>205</v>
      </c>
      <c r="B106" s="325">
        <v>65.87</v>
      </c>
      <c r="C106" s="79">
        <f t="shared" si="1"/>
        <v>63.46</v>
      </c>
      <c r="D106" s="80">
        <v>0.480071352664339</v>
      </c>
      <c r="E106" s="80">
        <v>0.0880428115986033</v>
      </c>
      <c r="F106" s="81">
        <v>0.0941393654167299</v>
      </c>
      <c r="G106" s="81">
        <v>0.213086382268104</v>
      </c>
    </row>
    <row r="107" ht="15.75" spans="1:7">
      <c r="A107" s="78" t="s">
        <v>206</v>
      </c>
      <c r="B107" s="325">
        <v>70.27</v>
      </c>
      <c r="C107" s="79">
        <f t="shared" si="1"/>
        <v>65.87</v>
      </c>
      <c r="D107" s="80">
        <v>0.512627010103885</v>
      </c>
      <c r="E107" s="80">
        <v>0.107576206062331</v>
      </c>
      <c r="F107" s="81">
        <v>0.113291020350078</v>
      </c>
      <c r="G107" s="81">
        <v>0.224790095346521</v>
      </c>
    </row>
    <row r="108" ht="15.75" spans="1:7">
      <c r="A108" s="78" t="s">
        <v>207</v>
      </c>
      <c r="B108" s="325">
        <v>72.07</v>
      </c>
      <c r="C108" s="79">
        <f t="shared" si="1"/>
        <v>70.27</v>
      </c>
      <c r="D108" s="80">
        <v>0.524799500485639</v>
      </c>
      <c r="E108" s="80">
        <v>0.114879700291383</v>
      </c>
      <c r="F108" s="81">
        <v>0.120451782988761</v>
      </c>
      <c r="G108" s="81">
        <v>0.229166088525045</v>
      </c>
    </row>
    <row r="109" ht="15.75" spans="1:7">
      <c r="A109" s="78" t="s">
        <v>208</v>
      </c>
      <c r="B109" s="325">
        <v>73.92</v>
      </c>
      <c r="C109" s="79">
        <f t="shared" si="1"/>
        <v>72.07</v>
      </c>
      <c r="D109" s="80">
        <v>0.53669237012987</v>
      </c>
      <c r="E109" s="80">
        <v>0.122015422077922</v>
      </c>
      <c r="F109" s="81">
        <v>0.127448051948052</v>
      </c>
      <c r="G109" s="81">
        <v>0.233441558441558</v>
      </c>
    </row>
    <row r="110" ht="15.75" spans="1:7">
      <c r="A110" s="78" t="s">
        <v>209</v>
      </c>
      <c r="B110" s="325">
        <v>75.24</v>
      </c>
      <c r="C110" s="79">
        <f t="shared" si="1"/>
        <v>73.92</v>
      </c>
      <c r="D110" s="80">
        <v>0.544820574162679</v>
      </c>
      <c r="E110" s="80">
        <v>0.126892344497608</v>
      </c>
      <c r="F110" s="81">
        <v>0.13222966507177</v>
      </c>
      <c r="G110" s="81">
        <v>0.236363636363636</v>
      </c>
    </row>
    <row r="111" ht="15.75" spans="1:7">
      <c r="A111" s="78" t="s">
        <v>210</v>
      </c>
      <c r="B111" s="325">
        <v>76.77</v>
      </c>
      <c r="C111" s="79">
        <f t="shared" si="1"/>
        <v>75.24</v>
      </c>
      <c r="D111" s="80">
        <v>0.553892145369285</v>
      </c>
      <c r="E111" s="80">
        <v>0.132335287221571</v>
      </c>
      <c r="F111" s="81">
        <v>0.137566236811254</v>
      </c>
      <c r="G111" s="81">
        <v>0.239624853458382</v>
      </c>
    </row>
    <row r="112" ht="15.75" spans="1:7">
      <c r="A112" s="78" t="s">
        <v>211</v>
      </c>
      <c r="B112" s="325">
        <v>79.37</v>
      </c>
      <c r="C112" s="79">
        <f t="shared" si="1"/>
        <v>76.77</v>
      </c>
      <c r="D112" s="80">
        <v>0.568505732644576</v>
      </c>
      <c r="E112" s="80">
        <v>0.141103439586746</v>
      </c>
      <c r="F112" s="81">
        <v>0.146163033891899</v>
      </c>
      <c r="G112" s="81">
        <v>0.244878417538113</v>
      </c>
    </row>
    <row r="113" ht="15.75" spans="1:7">
      <c r="A113" s="78" t="s">
        <v>212</v>
      </c>
      <c r="B113" s="325">
        <v>80.51</v>
      </c>
      <c r="C113" s="79">
        <f t="shared" si="1"/>
        <v>79.37</v>
      </c>
      <c r="D113" s="80">
        <v>0.574615575704881</v>
      </c>
      <c r="E113" s="80">
        <v>0.144769345422929</v>
      </c>
      <c r="F113" s="81">
        <v>0.149757297230158</v>
      </c>
      <c r="G113" s="81">
        <v>0.247074897528257</v>
      </c>
    </row>
    <row r="114" ht="15.75" spans="1:7">
      <c r="A114" s="78" t="s">
        <v>213</v>
      </c>
      <c r="B114" s="325">
        <v>84.81</v>
      </c>
      <c r="C114" s="79">
        <f t="shared" si="1"/>
        <v>80.51</v>
      </c>
      <c r="D114" s="80">
        <v>0.596183233109303</v>
      </c>
      <c r="E114" s="80">
        <v>0.157709939865582</v>
      </c>
      <c r="F114" s="81">
        <v>0.162444994694022</v>
      </c>
      <c r="G114" s="81">
        <v>0.254828440042448</v>
      </c>
    </row>
    <row r="115" ht="15.75" spans="1:7">
      <c r="A115" s="78" t="s">
        <v>214</v>
      </c>
      <c r="B115" s="325">
        <v>86.47</v>
      </c>
      <c r="C115" s="79">
        <f t="shared" si="1"/>
        <v>84.81</v>
      </c>
      <c r="D115" s="80">
        <v>0.603935468948768</v>
      </c>
      <c r="E115" s="80">
        <v>0.162361281369261</v>
      </c>
      <c r="F115" s="81">
        <v>0.167005435411125</v>
      </c>
      <c r="G115" s="81">
        <v>0.257615357927605</v>
      </c>
    </row>
    <row r="116" ht="15.75" spans="1:7">
      <c r="A116" s="78" t="s">
        <v>215</v>
      </c>
      <c r="B116" s="325">
        <v>88.05</v>
      </c>
      <c r="C116" s="79">
        <f t="shared" si="1"/>
        <v>86.47</v>
      </c>
      <c r="D116" s="80">
        <v>0.611042589437819</v>
      </c>
      <c r="E116" s="80">
        <v>0.166625553662692</v>
      </c>
      <c r="F116" s="81">
        <v>0.171186371379898</v>
      </c>
      <c r="G116" s="81">
        <v>0.260170357751278</v>
      </c>
    </row>
    <row r="117" ht="15.75" spans="1:7">
      <c r="A117" s="78" t="s">
        <v>216</v>
      </c>
      <c r="B117" s="325">
        <v>92.44</v>
      </c>
      <c r="C117" s="79">
        <f t="shared" si="1"/>
        <v>88.05</v>
      </c>
      <c r="D117" s="80">
        <v>0.62951427953267</v>
      </c>
      <c r="E117" s="80">
        <v>0.177708567719602</v>
      </c>
      <c r="F117" s="81">
        <v>0.182052790999567</v>
      </c>
      <c r="G117" s="81">
        <v>0.266810904370402</v>
      </c>
    </row>
    <row r="118" ht="15.75" spans="1:7">
      <c r="A118" s="78" t="s">
        <v>217</v>
      </c>
      <c r="B118" s="325">
        <v>99.63</v>
      </c>
      <c r="C118" s="79">
        <f t="shared" si="1"/>
        <v>92.44</v>
      </c>
      <c r="D118" s="80">
        <v>0.656251129177958</v>
      </c>
      <c r="E118" s="80">
        <v>0.193750677506775</v>
      </c>
      <c r="F118" s="81">
        <v>0.197781391147245</v>
      </c>
      <c r="G118" s="81">
        <v>0.276422764227642</v>
      </c>
    </row>
    <row r="119" ht="15.75" spans="1:7">
      <c r="A119" s="78" t="s">
        <v>218</v>
      </c>
      <c r="B119" s="325">
        <v>105.86</v>
      </c>
      <c r="C119" s="79">
        <f t="shared" si="1"/>
        <v>99.63</v>
      </c>
      <c r="D119" s="80">
        <v>0.676481201587002</v>
      </c>
      <c r="E119" s="80">
        <v>0.205888720952201</v>
      </c>
      <c r="F119" s="81">
        <v>0.20968222180238</v>
      </c>
      <c r="G119" s="81">
        <v>0.28369544681655</v>
      </c>
    </row>
    <row r="120" ht="15.75" spans="1:7">
      <c r="A120" s="78" t="s">
        <v>219</v>
      </c>
      <c r="B120" s="325">
        <v>119.24</v>
      </c>
      <c r="C120" s="79">
        <f t="shared" si="1"/>
        <v>105.86</v>
      </c>
      <c r="D120" s="80">
        <v>0.712783461925528</v>
      </c>
      <c r="E120" s="80">
        <v>0.227670077155317</v>
      </c>
      <c r="F120" s="81">
        <v>0.231037906742704</v>
      </c>
      <c r="G120" s="81">
        <v>0.296746058369675</v>
      </c>
    </row>
    <row r="121" ht="15.75" spans="1:7">
      <c r="A121" s="78" t="s">
        <v>220</v>
      </c>
      <c r="B121" s="325">
        <v>126.94</v>
      </c>
      <c r="C121" s="79">
        <f t="shared" si="1"/>
        <v>119.24</v>
      </c>
      <c r="D121" s="80">
        <v>0.73020560894911</v>
      </c>
      <c r="E121" s="80">
        <v>0.238123365369466</v>
      </c>
      <c r="F121" s="81">
        <v>0.241286907200252</v>
      </c>
      <c r="G121" s="81">
        <v>0.303009295730266</v>
      </c>
    </row>
    <row r="122" ht="15.75" spans="1:7">
      <c r="A122" s="78" t="s">
        <v>221</v>
      </c>
      <c r="B122" s="325">
        <v>147.1</v>
      </c>
      <c r="C122" s="79">
        <f t="shared" si="1"/>
        <v>126.94</v>
      </c>
      <c r="D122" s="80">
        <v>0.767180829367777</v>
      </c>
      <c r="E122" s="80">
        <v>0.260308497620666</v>
      </c>
      <c r="F122" s="81">
        <v>0.263038477226377</v>
      </c>
      <c r="G122" s="81">
        <v>0.316301835486064</v>
      </c>
    </row>
    <row r="123" spans="1:7">
      <c r="A123" s="78" t="s">
        <v>221</v>
      </c>
      <c r="B123" s="78" t="s">
        <v>346</v>
      </c>
      <c r="C123" s="79">
        <f t="shared" si="1"/>
        <v>147.1</v>
      </c>
      <c r="D123" s="83" t="s">
        <v>232</v>
      </c>
      <c r="E123" s="83"/>
      <c r="F123" s="84"/>
      <c r="G123" s="84"/>
    </row>
    <row r="124" spans="1:7">
      <c r="A124" s="78"/>
      <c r="B124" s="78"/>
      <c r="C124" s="78"/>
      <c r="D124" s="83"/>
      <c r="E124" s="85">
        <v>0.0717235060681083</v>
      </c>
      <c r="F124" s="86">
        <v>0.0745924503308201</v>
      </c>
      <c r="G124" s="86">
        <v>0.164133249854916</v>
      </c>
    </row>
    <row r="125" ht="48" spans="1:7">
      <c r="A125" s="87" t="s">
        <v>233</v>
      </c>
      <c r="B125" s="78">
        <v>34.2</v>
      </c>
      <c r="C125" s="78"/>
      <c r="D125" s="83"/>
      <c r="E125" s="255">
        <v>57.0795</v>
      </c>
      <c r="F125" s="128">
        <v>55.964</v>
      </c>
      <c r="G125" s="129">
        <v>34.2</v>
      </c>
    </row>
    <row r="126" ht="48" spans="1:7">
      <c r="A126" s="87" t="s">
        <v>224</v>
      </c>
      <c r="B126" s="78">
        <v>54.4</v>
      </c>
      <c r="C126" s="78"/>
      <c r="D126" s="83"/>
      <c r="E126" s="83"/>
      <c r="F126" s="84"/>
      <c r="G126" s="84"/>
    </row>
    <row r="127" ht="84" spans="1:7">
      <c r="A127" s="106" t="s">
        <v>225</v>
      </c>
      <c r="B127" s="78">
        <v>20.52</v>
      </c>
      <c r="C127" s="78"/>
      <c r="D127" s="83"/>
      <c r="E127" s="255">
        <v>34.2477</v>
      </c>
      <c r="F127" s="84">
        <v>33.5784</v>
      </c>
      <c r="G127" s="84">
        <v>20.52</v>
      </c>
    </row>
    <row r="129" ht="48.75" spans="1:2">
      <c r="A129" s="256" t="s">
        <v>224</v>
      </c>
      <c r="B129">
        <f>B126</f>
        <v>54.4</v>
      </c>
    </row>
    <row r="130" spans="1:3">
      <c r="A130" s="531" t="s">
        <v>226</v>
      </c>
      <c r="B130" s="95">
        <f>AVERAGE(B78:B117)</f>
        <v>57.0795</v>
      </c>
      <c r="C130" s="95"/>
    </row>
    <row r="131" spans="1:3">
      <c r="A131" s="531" t="s">
        <v>227</v>
      </c>
      <c r="B131" s="96">
        <f>AVERAGE(B83:B112)</f>
        <v>55.964</v>
      </c>
      <c r="C131" s="96"/>
    </row>
    <row r="132" spans="1:3">
      <c r="A132" s="531" t="s">
        <v>228</v>
      </c>
      <c r="B132" s="96">
        <f>AVERAGE(B89:B107)</f>
        <v>55.2857894736842</v>
      </c>
      <c r="C132" s="96"/>
    </row>
    <row r="133" ht="15.75"/>
    <row r="134" ht="15.75" spans="1:7">
      <c r="A134" s="252" t="s">
        <v>165</v>
      </c>
      <c r="B134" s="67" t="s">
        <v>347</v>
      </c>
      <c r="C134" s="68"/>
      <c r="D134" s="69"/>
      <c r="E134" s="70" t="e">
        <f>(1-E189)^(1/3)-1</f>
        <v>#DIV/0!</v>
      </c>
      <c r="F134" s="70" t="e">
        <f>(1-F189)^(1/3)-1</f>
        <v>#DIV/0!</v>
      </c>
      <c r="G134" s="70"/>
    </row>
    <row r="135" ht="72.75" spans="1:7">
      <c r="A135" s="253"/>
      <c r="B135" s="72" t="s">
        <v>167</v>
      </c>
      <c r="C135" s="107"/>
      <c r="D135" s="83" t="s">
        <v>168</v>
      </c>
      <c r="E135" s="83" t="s">
        <v>169</v>
      </c>
      <c r="F135" s="84" t="s">
        <v>169</v>
      </c>
      <c r="G135" s="84"/>
    </row>
    <row r="136" ht="24.75" spans="1:7">
      <c r="A136" s="254"/>
      <c r="B136" s="72" t="s">
        <v>235</v>
      </c>
      <c r="C136" s="107"/>
      <c r="D136" s="83" t="s">
        <v>171</v>
      </c>
      <c r="E136" s="83" t="s">
        <v>171</v>
      </c>
      <c r="F136" s="84" t="s">
        <v>171</v>
      </c>
      <c r="G136" s="84"/>
    </row>
    <row r="137" spans="1:7">
      <c r="A137" s="75">
        <v>1</v>
      </c>
      <c r="B137" s="76">
        <v>2</v>
      </c>
      <c r="C137" s="76"/>
      <c r="D137" s="76">
        <v>3</v>
      </c>
      <c r="E137" s="76">
        <v>4</v>
      </c>
      <c r="F137" s="77">
        <v>5</v>
      </c>
      <c r="G137" s="77"/>
    </row>
    <row r="138" ht="15.75" spans="1:7">
      <c r="A138" s="533" t="s">
        <v>172</v>
      </c>
      <c r="B138" s="258"/>
      <c r="C138" s="112">
        <v>0</v>
      </c>
      <c r="D138" s="80">
        <f t="shared" ref="D138:D187" si="2">IF(B138=0,0,IF(B138&lt;=E$192,0,B138-E$192)/B138)</f>
        <v>0</v>
      </c>
      <c r="E138" s="80"/>
      <c r="F138" s="81"/>
      <c r="G138" s="81"/>
    </row>
    <row r="139" ht="15.75" spans="1:7">
      <c r="A139" s="533" t="s">
        <v>173</v>
      </c>
      <c r="B139" s="258"/>
      <c r="C139" s="79">
        <f>B138</f>
        <v>0</v>
      </c>
      <c r="D139" s="80">
        <f t="shared" si="2"/>
        <v>0</v>
      </c>
      <c r="E139" s="80"/>
      <c r="F139" s="81"/>
      <c r="G139" s="81"/>
    </row>
    <row r="140" ht="15.75" spans="1:7">
      <c r="A140" s="533" t="s">
        <v>174</v>
      </c>
      <c r="B140" s="258"/>
      <c r="C140" s="79">
        <f t="shared" ref="C140:C188" si="3">B139</f>
        <v>0</v>
      </c>
      <c r="D140" s="80">
        <f t="shared" si="2"/>
        <v>0</v>
      </c>
      <c r="E140" s="80"/>
      <c r="F140" s="81"/>
      <c r="G140" s="81"/>
    </row>
    <row r="141" ht="15.75" spans="1:7">
      <c r="A141" s="533" t="s">
        <v>175</v>
      </c>
      <c r="B141" s="258"/>
      <c r="C141" s="79">
        <f t="shared" si="3"/>
        <v>0</v>
      </c>
      <c r="D141" s="80">
        <f t="shared" si="2"/>
        <v>0</v>
      </c>
      <c r="E141" s="80"/>
      <c r="F141" s="81"/>
      <c r="G141" s="81"/>
    </row>
    <row r="142" ht="15.75" spans="1:7">
      <c r="A142" s="533" t="s">
        <v>176</v>
      </c>
      <c r="B142" s="258"/>
      <c r="C142" s="79">
        <f t="shared" si="3"/>
        <v>0</v>
      </c>
      <c r="D142" s="80">
        <f t="shared" si="2"/>
        <v>0</v>
      </c>
      <c r="E142" s="80"/>
      <c r="F142" s="81"/>
      <c r="G142" s="81"/>
    </row>
    <row r="143" ht="15.75" spans="1:7">
      <c r="A143" s="533" t="s">
        <v>177</v>
      </c>
      <c r="B143" s="258"/>
      <c r="C143" s="79">
        <f t="shared" si="3"/>
        <v>0</v>
      </c>
      <c r="D143" s="80">
        <f t="shared" si="2"/>
        <v>0</v>
      </c>
      <c r="E143" s="80"/>
      <c r="F143" s="81"/>
      <c r="G143" s="81"/>
    </row>
    <row r="144" ht="15.75" spans="1:7">
      <c r="A144" s="533" t="s">
        <v>178</v>
      </c>
      <c r="B144" s="258"/>
      <c r="C144" s="79">
        <f t="shared" si="3"/>
        <v>0</v>
      </c>
      <c r="D144" s="80">
        <f t="shared" si="2"/>
        <v>0</v>
      </c>
      <c r="E144" s="80"/>
      <c r="F144" s="81"/>
      <c r="G144" s="81"/>
    </row>
    <row r="145" ht="15.75" spans="1:7">
      <c r="A145" s="257" t="s">
        <v>179</v>
      </c>
      <c r="B145" s="258"/>
      <c r="C145" s="79">
        <f t="shared" si="3"/>
        <v>0</v>
      </c>
      <c r="D145" s="80">
        <f t="shared" si="2"/>
        <v>0</v>
      </c>
      <c r="E145" s="80"/>
      <c r="F145" s="81"/>
      <c r="G145" s="81"/>
    </row>
    <row r="146" ht="15.75" spans="1:7">
      <c r="A146" s="257" t="s">
        <v>180</v>
      </c>
      <c r="B146" s="258"/>
      <c r="C146" s="79">
        <f t="shared" si="3"/>
        <v>0</v>
      </c>
      <c r="D146" s="80">
        <f t="shared" si="2"/>
        <v>0</v>
      </c>
      <c r="E146" s="80"/>
      <c r="F146" s="81"/>
      <c r="G146" s="81"/>
    </row>
    <row r="147" ht="15.75" spans="1:7">
      <c r="A147" s="257" t="s">
        <v>181</v>
      </c>
      <c r="B147" s="258"/>
      <c r="C147" s="79">
        <f t="shared" si="3"/>
        <v>0</v>
      </c>
      <c r="D147" s="80">
        <f t="shared" si="2"/>
        <v>0</v>
      </c>
      <c r="E147" s="80"/>
      <c r="F147" s="81"/>
      <c r="G147" s="81"/>
    </row>
    <row r="148" ht="15.75" spans="1:7">
      <c r="A148" s="257" t="s">
        <v>182</v>
      </c>
      <c r="B148" s="258"/>
      <c r="C148" s="79">
        <f t="shared" si="3"/>
        <v>0</v>
      </c>
      <c r="D148" s="80">
        <f t="shared" si="2"/>
        <v>0</v>
      </c>
      <c r="E148" s="80"/>
      <c r="F148" s="81"/>
      <c r="G148" s="81"/>
    </row>
    <row r="149" ht="15.75" spans="1:7">
      <c r="A149" s="257" t="s">
        <v>183</v>
      </c>
      <c r="B149" s="258"/>
      <c r="C149" s="79">
        <f t="shared" si="3"/>
        <v>0</v>
      </c>
      <c r="D149" s="80">
        <f t="shared" si="2"/>
        <v>0</v>
      </c>
      <c r="E149" s="80"/>
      <c r="F149" s="81"/>
      <c r="G149" s="81"/>
    </row>
    <row r="150" ht="15.75" spans="1:7">
      <c r="A150" s="257" t="s">
        <v>184</v>
      </c>
      <c r="B150" s="258"/>
      <c r="C150" s="79">
        <f t="shared" si="3"/>
        <v>0</v>
      </c>
      <c r="D150" s="80">
        <f t="shared" si="2"/>
        <v>0</v>
      </c>
      <c r="E150" s="80"/>
      <c r="F150" s="81"/>
      <c r="G150" s="81"/>
    </row>
    <row r="151" ht="15.75" spans="1:7">
      <c r="A151" s="257" t="s">
        <v>185</v>
      </c>
      <c r="B151" s="258"/>
      <c r="C151" s="79">
        <f t="shared" si="3"/>
        <v>0</v>
      </c>
      <c r="D151" s="80">
        <f t="shared" si="2"/>
        <v>0</v>
      </c>
      <c r="E151" s="80"/>
      <c r="F151" s="81"/>
      <c r="G151" s="81"/>
    </row>
    <row r="152" ht="15.75" spans="1:7">
      <c r="A152" s="257" t="s">
        <v>186</v>
      </c>
      <c r="B152" s="258"/>
      <c r="C152" s="79">
        <f t="shared" si="3"/>
        <v>0</v>
      </c>
      <c r="D152" s="80">
        <f t="shared" si="2"/>
        <v>0</v>
      </c>
      <c r="E152" s="80"/>
      <c r="F152" s="81"/>
      <c r="G152" s="81"/>
    </row>
    <row r="153" ht="15.75" spans="1:7">
      <c r="A153" s="257" t="s">
        <v>187</v>
      </c>
      <c r="B153" s="258"/>
      <c r="C153" s="79">
        <f t="shared" si="3"/>
        <v>0</v>
      </c>
      <c r="D153" s="80">
        <f t="shared" si="2"/>
        <v>0</v>
      </c>
      <c r="E153" s="80"/>
      <c r="F153" s="81"/>
      <c r="G153" s="81"/>
    </row>
    <row r="154" ht="15.75" spans="1:7">
      <c r="A154" s="257" t="s">
        <v>188</v>
      </c>
      <c r="B154" s="258"/>
      <c r="C154" s="79">
        <f t="shared" si="3"/>
        <v>0</v>
      </c>
      <c r="D154" s="80">
        <f t="shared" si="2"/>
        <v>0</v>
      </c>
      <c r="E154" s="80"/>
      <c r="F154" s="81"/>
      <c r="G154" s="81"/>
    </row>
    <row r="155" ht="15.75" spans="1:7">
      <c r="A155" s="257" t="s">
        <v>189</v>
      </c>
      <c r="B155" s="258"/>
      <c r="C155" s="79">
        <f t="shared" si="3"/>
        <v>0</v>
      </c>
      <c r="D155" s="80">
        <f t="shared" si="2"/>
        <v>0</v>
      </c>
      <c r="E155" s="80"/>
      <c r="F155" s="81"/>
      <c r="G155" s="81"/>
    </row>
    <row r="156" ht="15.75" spans="1:7">
      <c r="A156" s="257" t="s">
        <v>190</v>
      </c>
      <c r="B156" s="258"/>
      <c r="C156" s="79">
        <f t="shared" si="3"/>
        <v>0</v>
      </c>
      <c r="D156" s="80">
        <f t="shared" si="2"/>
        <v>0</v>
      </c>
      <c r="E156" s="80"/>
      <c r="F156" s="81"/>
      <c r="G156" s="81"/>
    </row>
    <row r="157" ht="15.75" spans="1:7">
      <c r="A157" s="257" t="s">
        <v>191</v>
      </c>
      <c r="B157" s="258"/>
      <c r="C157" s="79">
        <f t="shared" si="3"/>
        <v>0</v>
      </c>
      <c r="D157" s="80">
        <f t="shared" si="2"/>
        <v>0</v>
      </c>
      <c r="E157" s="80"/>
      <c r="F157" s="81"/>
      <c r="G157" s="81"/>
    </row>
    <row r="158" ht="15.75" spans="1:7">
      <c r="A158" s="257" t="s">
        <v>192</v>
      </c>
      <c r="B158" s="258"/>
      <c r="C158" s="79">
        <f t="shared" si="3"/>
        <v>0</v>
      </c>
      <c r="D158" s="80">
        <f t="shared" si="2"/>
        <v>0</v>
      </c>
      <c r="E158" s="80"/>
      <c r="F158" s="81"/>
      <c r="G158" s="81"/>
    </row>
    <row r="159" ht="15.75" spans="1:7">
      <c r="A159" s="257" t="s">
        <v>193</v>
      </c>
      <c r="B159" s="258"/>
      <c r="C159" s="79">
        <f t="shared" si="3"/>
        <v>0</v>
      </c>
      <c r="D159" s="80">
        <f t="shared" si="2"/>
        <v>0</v>
      </c>
      <c r="E159" s="80"/>
      <c r="F159" s="81"/>
      <c r="G159" s="81"/>
    </row>
    <row r="160" ht="15.75" spans="1:7">
      <c r="A160" s="257" t="s">
        <v>194</v>
      </c>
      <c r="B160" s="258"/>
      <c r="C160" s="79">
        <f t="shared" si="3"/>
        <v>0</v>
      </c>
      <c r="D160" s="80">
        <f t="shared" si="2"/>
        <v>0</v>
      </c>
      <c r="E160" s="80"/>
      <c r="F160" s="81"/>
      <c r="G160" s="81"/>
    </row>
    <row r="161" ht="15.75" spans="1:7">
      <c r="A161" s="257" t="s">
        <v>195</v>
      </c>
      <c r="B161" s="258"/>
      <c r="C161" s="79">
        <f t="shared" si="3"/>
        <v>0</v>
      </c>
      <c r="D161" s="80">
        <f t="shared" si="2"/>
        <v>0</v>
      </c>
      <c r="E161" s="80"/>
      <c r="F161" s="81"/>
      <c r="G161" s="81"/>
    </row>
    <row r="162" ht="15.75" spans="1:7">
      <c r="A162" s="257" t="s">
        <v>196</v>
      </c>
      <c r="B162" s="258"/>
      <c r="C162" s="79">
        <f t="shared" si="3"/>
        <v>0</v>
      </c>
      <c r="D162" s="80">
        <f t="shared" si="2"/>
        <v>0</v>
      </c>
      <c r="E162" s="80"/>
      <c r="F162" s="81"/>
      <c r="G162" s="81"/>
    </row>
    <row r="163" ht="15.75" spans="1:7">
      <c r="A163" s="257" t="s">
        <v>197</v>
      </c>
      <c r="B163" s="258"/>
      <c r="C163" s="79">
        <f t="shared" si="3"/>
        <v>0</v>
      </c>
      <c r="D163" s="80">
        <f t="shared" si="2"/>
        <v>0</v>
      </c>
      <c r="E163" s="80"/>
      <c r="F163" s="81"/>
      <c r="G163" s="81"/>
    </row>
    <row r="164" ht="15.75" spans="1:7">
      <c r="A164" s="257" t="s">
        <v>198</v>
      </c>
      <c r="B164" s="258"/>
      <c r="C164" s="79">
        <f t="shared" si="3"/>
        <v>0</v>
      </c>
      <c r="D164" s="80">
        <f t="shared" si="2"/>
        <v>0</v>
      </c>
      <c r="E164" s="80"/>
      <c r="F164" s="81"/>
      <c r="G164" s="81"/>
    </row>
    <row r="165" ht="15.75" spans="1:7">
      <c r="A165" s="257" t="s">
        <v>199</v>
      </c>
      <c r="B165" s="258"/>
      <c r="C165" s="79">
        <f t="shared" si="3"/>
        <v>0</v>
      </c>
      <c r="D165" s="80">
        <f t="shared" si="2"/>
        <v>0</v>
      </c>
      <c r="E165" s="80"/>
      <c r="F165" s="81"/>
      <c r="G165" s="81"/>
    </row>
    <row r="166" ht="15.75" spans="1:7">
      <c r="A166" s="257" t="s">
        <v>200</v>
      </c>
      <c r="B166" s="258"/>
      <c r="C166" s="79">
        <f t="shared" si="3"/>
        <v>0</v>
      </c>
      <c r="D166" s="80">
        <f t="shared" si="2"/>
        <v>0</v>
      </c>
      <c r="E166" s="80"/>
      <c r="F166" s="81"/>
      <c r="G166" s="81"/>
    </row>
    <row r="167" ht="15.75" spans="1:7">
      <c r="A167" s="257" t="s">
        <v>201</v>
      </c>
      <c r="B167" s="258"/>
      <c r="C167" s="79">
        <f t="shared" si="3"/>
        <v>0</v>
      </c>
      <c r="D167" s="80">
        <f t="shared" si="2"/>
        <v>0</v>
      </c>
      <c r="E167" s="80"/>
      <c r="F167" s="81"/>
      <c r="G167" s="81"/>
    </row>
    <row r="168" ht="15.75" spans="1:7">
      <c r="A168" s="257" t="s">
        <v>202</v>
      </c>
      <c r="B168" s="258"/>
      <c r="C168" s="79">
        <f t="shared" si="3"/>
        <v>0</v>
      </c>
      <c r="D168" s="80">
        <f t="shared" si="2"/>
        <v>0</v>
      </c>
      <c r="E168" s="80"/>
      <c r="F168" s="81"/>
      <c r="G168" s="81"/>
    </row>
    <row r="169" ht="15.75" spans="1:7">
      <c r="A169" s="257" t="s">
        <v>203</v>
      </c>
      <c r="B169" s="258"/>
      <c r="C169" s="79">
        <f t="shared" si="3"/>
        <v>0</v>
      </c>
      <c r="D169" s="80">
        <f t="shared" si="2"/>
        <v>0</v>
      </c>
      <c r="E169" s="80"/>
      <c r="F169" s="81"/>
      <c r="G169" s="81"/>
    </row>
    <row r="170" ht="15.75" spans="1:7">
      <c r="A170" s="257" t="s">
        <v>204</v>
      </c>
      <c r="B170" s="258"/>
      <c r="C170" s="79">
        <f t="shared" si="3"/>
        <v>0</v>
      </c>
      <c r="D170" s="80">
        <f t="shared" si="2"/>
        <v>0</v>
      </c>
      <c r="E170" s="80"/>
      <c r="F170" s="81"/>
      <c r="G170" s="81"/>
    </row>
    <row r="171" ht="15.75" spans="1:7">
      <c r="A171" s="257" t="s">
        <v>205</v>
      </c>
      <c r="B171" s="258"/>
      <c r="C171" s="79">
        <f t="shared" si="3"/>
        <v>0</v>
      </c>
      <c r="D171" s="80">
        <f t="shared" si="2"/>
        <v>0</v>
      </c>
      <c r="E171" s="80"/>
      <c r="F171" s="81"/>
      <c r="G171" s="81"/>
    </row>
    <row r="172" ht="15.75" spans="1:7">
      <c r="A172" s="257" t="s">
        <v>206</v>
      </c>
      <c r="B172" s="258"/>
      <c r="C172" s="79">
        <f t="shared" si="3"/>
        <v>0</v>
      </c>
      <c r="D172" s="80">
        <f t="shared" si="2"/>
        <v>0</v>
      </c>
      <c r="E172" s="80"/>
      <c r="F172" s="81"/>
      <c r="G172" s="81"/>
    </row>
    <row r="173" ht="15.75" spans="1:7">
      <c r="A173" s="257" t="s">
        <v>207</v>
      </c>
      <c r="B173" s="258"/>
      <c r="C173" s="79">
        <f t="shared" si="3"/>
        <v>0</v>
      </c>
      <c r="D173" s="80">
        <f t="shared" si="2"/>
        <v>0</v>
      </c>
      <c r="E173" s="80"/>
      <c r="F173" s="81"/>
      <c r="G173" s="81"/>
    </row>
    <row r="174" ht="15.75" spans="1:7">
      <c r="A174" s="257" t="s">
        <v>208</v>
      </c>
      <c r="B174" s="258"/>
      <c r="C174" s="79">
        <f t="shared" si="3"/>
        <v>0</v>
      </c>
      <c r="D174" s="80">
        <f t="shared" si="2"/>
        <v>0</v>
      </c>
      <c r="E174" s="80"/>
      <c r="F174" s="81"/>
      <c r="G174" s="81"/>
    </row>
    <row r="175" ht="15.75" spans="1:7">
      <c r="A175" s="257" t="s">
        <v>209</v>
      </c>
      <c r="B175" s="258"/>
      <c r="C175" s="79">
        <f t="shared" si="3"/>
        <v>0</v>
      </c>
      <c r="D175" s="80">
        <f t="shared" si="2"/>
        <v>0</v>
      </c>
      <c r="E175" s="80"/>
      <c r="F175" s="81"/>
      <c r="G175" s="81"/>
    </row>
    <row r="176" ht="15.75" spans="1:7">
      <c r="A176" s="257" t="s">
        <v>210</v>
      </c>
      <c r="B176" s="258"/>
      <c r="C176" s="79">
        <f t="shared" si="3"/>
        <v>0</v>
      </c>
      <c r="D176" s="80">
        <f t="shared" si="2"/>
        <v>0</v>
      </c>
      <c r="E176" s="80"/>
      <c r="F176" s="81"/>
      <c r="G176" s="81"/>
    </row>
    <row r="177" ht="15.75" spans="1:7">
      <c r="A177" s="257" t="s">
        <v>211</v>
      </c>
      <c r="B177" s="258"/>
      <c r="C177" s="79">
        <f t="shared" si="3"/>
        <v>0</v>
      </c>
      <c r="D177" s="80">
        <f t="shared" si="2"/>
        <v>0</v>
      </c>
      <c r="E177" s="80"/>
      <c r="F177" s="81"/>
      <c r="G177" s="81"/>
    </row>
    <row r="178" ht="15.75" spans="1:7">
      <c r="A178" s="257" t="s">
        <v>212</v>
      </c>
      <c r="B178" s="258"/>
      <c r="C178" s="79">
        <f t="shared" si="3"/>
        <v>0</v>
      </c>
      <c r="D178" s="80">
        <f t="shared" si="2"/>
        <v>0</v>
      </c>
      <c r="E178" s="80"/>
      <c r="F178" s="81"/>
      <c r="G178" s="81"/>
    </row>
    <row r="179" ht="15.75" spans="1:7">
      <c r="A179" s="257" t="s">
        <v>213</v>
      </c>
      <c r="B179" s="258"/>
      <c r="C179" s="79">
        <f t="shared" si="3"/>
        <v>0</v>
      </c>
      <c r="D179" s="80">
        <f t="shared" si="2"/>
        <v>0</v>
      </c>
      <c r="E179" s="80"/>
      <c r="F179" s="81"/>
      <c r="G179" s="81"/>
    </row>
    <row r="180" ht="15.75" spans="1:7">
      <c r="A180" s="257" t="s">
        <v>214</v>
      </c>
      <c r="B180" s="258"/>
      <c r="C180" s="79">
        <f t="shared" si="3"/>
        <v>0</v>
      </c>
      <c r="D180" s="80">
        <f t="shared" si="2"/>
        <v>0</v>
      </c>
      <c r="E180" s="80"/>
      <c r="F180" s="81"/>
      <c r="G180" s="81"/>
    </row>
    <row r="181" ht="15.75" spans="1:7">
      <c r="A181" s="257" t="s">
        <v>215</v>
      </c>
      <c r="B181" s="258"/>
      <c r="C181" s="79">
        <f t="shared" si="3"/>
        <v>0</v>
      </c>
      <c r="D181" s="80">
        <f t="shared" si="2"/>
        <v>0</v>
      </c>
      <c r="E181" s="80"/>
      <c r="F181" s="81"/>
      <c r="G181" s="81"/>
    </row>
    <row r="182" ht="15.75" spans="1:7">
      <c r="A182" s="257" t="s">
        <v>216</v>
      </c>
      <c r="B182" s="258"/>
      <c r="C182" s="79">
        <f t="shared" si="3"/>
        <v>0</v>
      </c>
      <c r="D182" s="80">
        <f t="shared" si="2"/>
        <v>0</v>
      </c>
      <c r="E182" s="80"/>
      <c r="F182" s="81"/>
      <c r="G182" s="81"/>
    </row>
    <row r="183" ht="15.75" spans="1:7">
      <c r="A183" s="257" t="s">
        <v>217</v>
      </c>
      <c r="B183" s="258"/>
      <c r="C183" s="79">
        <f t="shared" si="3"/>
        <v>0</v>
      </c>
      <c r="D183" s="80">
        <f t="shared" si="2"/>
        <v>0</v>
      </c>
      <c r="E183" s="80"/>
      <c r="F183" s="81"/>
      <c r="G183" s="81"/>
    </row>
    <row r="184" ht="15.75" spans="1:7">
      <c r="A184" s="257" t="s">
        <v>218</v>
      </c>
      <c r="B184" s="258"/>
      <c r="C184" s="79">
        <f t="shared" si="3"/>
        <v>0</v>
      </c>
      <c r="D184" s="80">
        <f t="shared" si="2"/>
        <v>0</v>
      </c>
      <c r="E184" s="80"/>
      <c r="F184" s="81"/>
      <c r="G184" s="81"/>
    </row>
    <row r="185" ht="15.75" spans="1:7">
      <c r="A185" s="257" t="s">
        <v>219</v>
      </c>
      <c r="B185" s="258"/>
      <c r="C185" s="79">
        <f t="shared" si="3"/>
        <v>0</v>
      </c>
      <c r="D185" s="80">
        <f t="shared" si="2"/>
        <v>0</v>
      </c>
      <c r="E185" s="80"/>
      <c r="F185" s="81"/>
      <c r="G185" s="81"/>
    </row>
    <row r="186" ht="15.75" spans="1:7">
      <c r="A186" s="257" t="s">
        <v>220</v>
      </c>
      <c r="B186" s="258"/>
      <c r="C186" s="79">
        <f t="shared" si="3"/>
        <v>0</v>
      </c>
      <c r="D186" s="80">
        <f t="shared" si="2"/>
        <v>0</v>
      </c>
      <c r="E186" s="80"/>
      <c r="F186" s="81"/>
      <c r="G186" s="81"/>
    </row>
    <row r="187" ht="15.75" spans="1:7">
      <c r="A187" s="257" t="s">
        <v>221</v>
      </c>
      <c r="B187" s="259"/>
      <c r="C187" s="79">
        <f t="shared" si="3"/>
        <v>0</v>
      </c>
      <c r="D187" s="80">
        <f t="shared" si="2"/>
        <v>0</v>
      </c>
      <c r="E187" s="80"/>
      <c r="F187" s="81"/>
      <c r="G187" s="81"/>
    </row>
    <row r="188" ht="15.75" spans="1:7">
      <c r="A188" s="257" t="s">
        <v>221</v>
      </c>
      <c r="B188" s="257" t="s">
        <v>348</v>
      </c>
      <c r="C188" s="79">
        <f t="shared" si="3"/>
        <v>0</v>
      </c>
      <c r="D188" s="260"/>
      <c r="E188" s="72"/>
      <c r="F188" s="73"/>
      <c r="G188" s="84"/>
    </row>
    <row r="189" ht="15.75" spans="1:7">
      <c r="A189" s="257"/>
      <c r="B189" s="257">
        <v>5.4</v>
      </c>
      <c r="C189" s="116"/>
      <c r="D189" s="260"/>
      <c r="E189" s="261" t="e">
        <f>AVERAGE(E138:E187)</f>
        <v>#DIV/0!</v>
      </c>
      <c r="F189" s="262" t="e">
        <f>AVERAGE(F138:F187)</f>
        <v>#DIV/0!</v>
      </c>
      <c r="G189" s="262"/>
    </row>
    <row r="190" ht="48.75" spans="1:7">
      <c r="A190" s="256" t="s">
        <v>233</v>
      </c>
      <c r="B190" s="257">
        <v>6</v>
      </c>
      <c r="C190" s="116"/>
      <c r="D190" s="260"/>
      <c r="E190" s="263" t="e">
        <f>B195</f>
        <v>#DIV/0!</v>
      </c>
      <c r="F190" s="264" t="e">
        <f>B196</f>
        <v>#DIV/0!</v>
      </c>
      <c r="G190" s="265"/>
    </row>
    <row r="191" ht="48.75" spans="1:7">
      <c r="A191" s="256" t="s">
        <v>224</v>
      </c>
      <c r="B191" s="116">
        <v>4.9</v>
      </c>
      <c r="C191" s="116"/>
      <c r="D191" s="72"/>
      <c r="E191" s="72"/>
      <c r="F191" s="73"/>
      <c r="G191" s="73"/>
    </row>
    <row r="192" ht="84.75" spans="1:7">
      <c r="A192" s="266" t="s">
        <v>225</v>
      </c>
      <c r="B192" s="116">
        <v>3.6</v>
      </c>
      <c r="C192" s="116"/>
      <c r="D192" s="72"/>
      <c r="E192" s="72" t="e">
        <f>0.6*E190</f>
        <v>#DIV/0!</v>
      </c>
      <c r="F192" s="73" t="e">
        <f>0.6*F190</f>
        <v>#DIV/0!</v>
      </c>
      <c r="G192" s="73"/>
    </row>
    <row r="195" spans="1:3">
      <c r="A195" s="531" t="s">
        <v>226</v>
      </c>
      <c r="B195" s="95" t="e">
        <f>AVERAGE(B143:B182)</f>
        <v>#DIV/0!</v>
      </c>
      <c r="C195" s="95"/>
    </row>
    <row r="196" spans="1:3">
      <c r="A196" s="531" t="s">
        <v>227</v>
      </c>
      <c r="B196" s="96" t="e">
        <f>AVERAGE(B148:B177)</f>
        <v>#DIV/0!</v>
      </c>
      <c r="C196" s="96"/>
    </row>
    <row r="197" spans="1:3">
      <c r="A197" s="531" t="s">
        <v>228</v>
      </c>
      <c r="B197" s="96" t="e">
        <f>AVERAGE(B154:B172)</f>
        <v>#DIV/0!</v>
      </c>
      <c r="C197" s="96"/>
    </row>
    <row r="200" customHeight="1" spans="1:7">
      <c r="A200" s="83" t="s">
        <v>165</v>
      </c>
      <c r="B200" s="83" t="s">
        <v>234</v>
      </c>
      <c r="C200" s="83"/>
      <c r="D200" s="83"/>
      <c r="E200" s="86">
        <f>(1-E255)^(1/3)-1</f>
        <v>-0.0306841680004092</v>
      </c>
      <c r="F200" s="86">
        <f>(1-F255)^(1/3)-1</f>
        <v>-0.034491780909975</v>
      </c>
      <c r="G200" s="86"/>
    </row>
    <row r="201" ht="72" spans="1:7">
      <c r="A201" s="83"/>
      <c r="B201" s="83" t="s">
        <v>167</v>
      </c>
      <c r="C201" s="83"/>
      <c r="D201" s="83" t="s">
        <v>168</v>
      </c>
      <c r="E201" s="83" t="s">
        <v>169</v>
      </c>
      <c r="F201" s="84" t="s">
        <v>169</v>
      </c>
      <c r="G201" s="84"/>
    </row>
    <row r="202" ht="24" spans="1:7">
      <c r="A202" s="83"/>
      <c r="B202" s="83" t="s">
        <v>235</v>
      </c>
      <c r="C202" s="83"/>
      <c r="D202" s="83" t="s">
        <v>171</v>
      </c>
      <c r="E202" s="534" t="s">
        <v>227</v>
      </c>
      <c r="F202" s="84"/>
      <c r="G202" s="267"/>
    </row>
    <row r="203" spans="1:7">
      <c r="A203" s="75">
        <v>1</v>
      </c>
      <c r="B203" s="76">
        <v>2</v>
      </c>
      <c r="C203" s="76"/>
      <c r="D203" s="76">
        <v>3</v>
      </c>
      <c r="E203" s="76">
        <v>4</v>
      </c>
      <c r="F203" s="77">
        <v>5</v>
      </c>
      <c r="G203" s="77"/>
    </row>
    <row r="204" spans="1:7">
      <c r="A204" s="530" t="s">
        <v>172</v>
      </c>
      <c r="B204" s="89">
        <v>0.215448430187719</v>
      </c>
      <c r="C204" s="89">
        <v>0</v>
      </c>
      <c r="D204" s="80">
        <v>0</v>
      </c>
      <c r="E204" s="80">
        <v>0</v>
      </c>
      <c r="F204" s="81">
        <v>0</v>
      </c>
      <c r="G204" s="81">
        <v>0</v>
      </c>
    </row>
    <row r="205" spans="1:7">
      <c r="A205" s="530" t="s">
        <v>173</v>
      </c>
      <c r="B205" s="89">
        <v>0.335449583367337</v>
      </c>
      <c r="C205" s="79">
        <f>B204</f>
        <v>0.215448430187719</v>
      </c>
      <c r="D205" s="80">
        <v>0</v>
      </c>
      <c r="E205" s="80">
        <v>0</v>
      </c>
      <c r="F205" s="81">
        <v>0</v>
      </c>
      <c r="G205" s="81">
        <v>0</v>
      </c>
    </row>
    <row r="206" spans="1:7">
      <c r="A206" s="530" t="s">
        <v>174</v>
      </c>
      <c r="B206" s="89">
        <v>0.439071324253886</v>
      </c>
      <c r="C206" s="79">
        <f t="shared" ref="C206:C254" si="4">B205</f>
        <v>0.335449583367337</v>
      </c>
      <c r="D206" s="80">
        <v>0</v>
      </c>
      <c r="E206" s="80">
        <v>0</v>
      </c>
      <c r="F206" s="81">
        <v>0</v>
      </c>
      <c r="G206" s="81">
        <v>0</v>
      </c>
    </row>
    <row r="207" spans="1:7">
      <c r="A207" s="530" t="s">
        <v>175</v>
      </c>
      <c r="B207" s="89">
        <v>0.565193130050792</v>
      </c>
      <c r="C207" s="79">
        <f t="shared" si="4"/>
        <v>0.439071324253886</v>
      </c>
      <c r="D207" s="80">
        <v>0</v>
      </c>
      <c r="E207" s="80">
        <v>0</v>
      </c>
      <c r="F207" s="81">
        <v>0</v>
      </c>
      <c r="G207" s="81">
        <v>0</v>
      </c>
    </row>
    <row r="208" spans="1:7">
      <c r="A208" s="530" t="s">
        <v>176</v>
      </c>
      <c r="B208" s="89">
        <v>0.729156223125652</v>
      </c>
      <c r="C208" s="79">
        <f t="shared" si="4"/>
        <v>0.565193130050792</v>
      </c>
      <c r="D208" s="80">
        <v>0</v>
      </c>
      <c r="E208" s="80">
        <v>0</v>
      </c>
      <c r="F208" s="81">
        <v>0</v>
      </c>
      <c r="G208" s="81">
        <v>0</v>
      </c>
    </row>
    <row r="209" spans="1:7">
      <c r="A209" s="530" t="s">
        <v>177</v>
      </c>
      <c r="B209" s="89">
        <v>0.833064893596803</v>
      </c>
      <c r="C209" s="79">
        <f t="shared" si="4"/>
        <v>0.729156223125652</v>
      </c>
      <c r="D209" s="80">
        <v>0</v>
      </c>
      <c r="E209" s="80">
        <v>0</v>
      </c>
      <c r="F209" s="81">
        <v>0</v>
      </c>
      <c r="G209" s="81">
        <v>0</v>
      </c>
    </row>
    <row r="210" spans="1:7">
      <c r="A210" s="530" t="s">
        <v>178</v>
      </c>
      <c r="B210" s="89">
        <v>0.933832808972787</v>
      </c>
      <c r="C210" s="79">
        <f t="shared" si="4"/>
        <v>0.833064893596803</v>
      </c>
      <c r="D210" s="80">
        <v>0</v>
      </c>
      <c r="E210" s="80">
        <v>0</v>
      </c>
      <c r="F210" s="81">
        <v>0</v>
      </c>
      <c r="G210" s="81">
        <v>0</v>
      </c>
    </row>
    <row r="211" spans="1:7">
      <c r="A211" s="78" t="s">
        <v>179</v>
      </c>
      <c r="B211" s="89">
        <v>0.964733629300777</v>
      </c>
      <c r="C211" s="79">
        <f t="shared" si="4"/>
        <v>0.933832808972787</v>
      </c>
      <c r="D211" s="80">
        <v>0</v>
      </c>
      <c r="E211" s="80">
        <v>0</v>
      </c>
      <c r="F211" s="81">
        <v>0</v>
      </c>
      <c r="G211" s="81">
        <v>0</v>
      </c>
    </row>
    <row r="212" spans="1:7">
      <c r="A212" s="78" t="s">
        <v>180</v>
      </c>
      <c r="B212" s="89">
        <v>1.0788737170088</v>
      </c>
      <c r="C212" s="79">
        <f t="shared" si="4"/>
        <v>0.964733629300777</v>
      </c>
      <c r="D212" s="80">
        <v>0</v>
      </c>
      <c r="E212" s="80">
        <v>0</v>
      </c>
      <c r="F212" s="81">
        <v>0</v>
      </c>
      <c r="G212" s="81">
        <v>0</v>
      </c>
    </row>
    <row r="213" spans="1:7">
      <c r="A213" s="78" t="s">
        <v>181</v>
      </c>
      <c r="B213" s="89">
        <v>1.15631067961165</v>
      </c>
      <c r="C213" s="79">
        <f t="shared" si="4"/>
        <v>1.0788737170088</v>
      </c>
      <c r="D213" s="80">
        <v>0</v>
      </c>
      <c r="E213" s="80">
        <v>0</v>
      </c>
      <c r="F213" s="81">
        <v>0</v>
      </c>
      <c r="G213" s="81">
        <v>0</v>
      </c>
    </row>
    <row r="214" spans="1:7">
      <c r="A214" s="78" t="s">
        <v>182</v>
      </c>
      <c r="B214" s="89">
        <v>1.1905347190578</v>
      </c>
      <c r="C214" s="79">
        <f t="shared" si="4"/>
        <v>1.15631067961165</v>
      </c>
      <c r="D214" s="80">
        <v>0</v>
      </c>
      <c r="E214" s="80">
        <v>0</v>
      </c>
      <c r="F214" s="81">
        <v>0</v>
      </c>
      <c r="G214" s="81">
        <v>0</v>
      </c>
    </row>
    <row r="215" spans="1:7">
      <c r="A215" s="78" t="s">
        <v>183</v>
      </c>
      <c r="B215" s="89">
        <v>1.22833715848559</v>
      </c>
      <c r="C215" s="79">
        <f t="shared" si="4"/>
        <v>1.1905347190578</v>
      </c>
      <c r="D215" s="80">
        <v>0</v>
      </c>
      <c r="E215" s="80">
        <v>0</v>
      </c>
      <c r="F215" s="81">
        <v>0</v>
      </c>
      <c r="G215" s="81">
        <v>0</v>
      </c>
    </row>
    <row r="216" spans="1:7">
      <c r="A216" s="78" t="s">
        <v>184</v>
      </c>
      <c r="B216" s="89">
        <v>1.27079865926953</v>
      </c>
      <c r="C216" s="79">
        <f t="shared" si="4"/>
        <v>1.22833715848559</v>
      </c>
      <c r="D216" s="80">
        <v>0</v>
      </c>
      <c r="E216" s="80">
        <v>0</v>
      </c>
      <c r="F216" s="81">
        <v>0</v>
      </c>
      <c r="G216" s="81">
        <v>0</v>
      </c>
    </row>
    <row r="217" spans="1:7">
      <c r="A217" s="78" t="s">
        <v>185</v>
      </c>
      <c r="B217" s="89">
        <v>1.31769944277949</v>
      </c>
      <c r="C217" s="79">
        <f t="shared" si="4"/>
        <v>1.27079865926953</v>
      </c>
      <c r="D217" s="80">
        <v>0</v>
      </c>
      <c r="E217" s="80">
        <v>0</v>
      </c>
      <c r="F217" s="81">
        <v>0</v>
      </c>
      <c r="G217" s="81">
        <v>0</v>
      </c>
    </row>
    <row r="218" spans="1:7">
      <c r="A218" s="78" t="s">
        <v>186</v>
      </c>
      <c r="B218" s="89">
        <v>1.35586854460094</v>
      </c>
      <c r="C218" s="79">
        <f t="shared" si="4"/>
        <v>1.31769944277949</v>
      </c>
      <c r="D218" s="80">
        <v>0</v>
      </c>
      <c r="E218" s="80">
        <v>0</v>
      </c>
      <c r="F218" s="81">
        <v>0</v>
      </c>
      <c r="G218" s="81">
        <v>0</v>
      </c>
    </row>
    <row r="219" spans="1:7">
      <c r="A219" s="78" t="s">
        <v>187</v>
      </c>
      <c r="B219" s="89">
        <v>1.46152260904362</v>
      </c>
      <c r="C219" s="79">
        <f t="shared" si="4"/>
        <v>1.35586854460094</v>
      </c>
      <c r="D219" s="80">
        <v>0</v>
      </c>
      <c r="E219" s="80"/>
      <c r="F219" s="81"/>
      <c r="G219" s="81"/>
    </row>
    <row r="220" spans="1:7">
      <c r="A220" s="78" t="s">
        <v>188</v>
      </c>
      <c r="B220" s="89">
        <v>1.63105936819172</v>
      </c>
      <c r="C220" s="79">
        <f t="shared" si="4"/>
        <v>1.46152260904362</v>
      </c>
      <c r="D220" s="80">
        <v>0</v>
      </c>
      <c r="E220" s="80"/>
      <c r="F220" s="81"/>
      <c r="G220" s="81"/>
    </row>
    <row r="221" spans="1:7">
      <c r="A221" s="78" t="s">
        <v>189</v>
      </c>
      <c r="B221" s="89">
        <v>1.66210644129504</v>
      </c>
      <c r="C221" s="79">
        <f t="shared" si="4"/>
        <v>1.63105936819172</v>
      </c>
      <c r="D221" s="80">
        <v>0</v>
      </c>
      <c r="E221" s="80"/>
      <c r="F221" s="81"/>
      <c r="G221" s="81"/>
    </row>
    <row r="222" spans="1:7">
      <c r="A222" s="78" t="s">
        <v>190</v>
      </c>
      <c r="B222" s="89">
        <v>1.70313553330374</v>
      </c>
      <c r="C222" s="79">
        <f t="shared" si="4"/>
        <v>1.66210644129504</v>
      </c>
      <c r="D222" s="80">
        <v>0</v>
      </c>
      <c r="E222" s="80"/>
      <c r="F222" s="81"/>
      <c r="G222" s="81"/>
    </row>
    <row r="223" spans="1:7">
      <c r="A223" s="78" t="s">
        <v>191</v>
      </c>
      <c r="B223" s="89">
        <v>1.80326146852183</v>
      </c>
      <c r="C223" s="79">
        <f t="shared" si="4"/>
        <v>1.70313553330374</v>
      </c>
      <c r="D223" s="80">
        <v>0.0437144517665404</v>
      </c>
      <c r="E223" s="80"/>
      <c r="F223" s="81"/>
      <c r="G223" s="81"/>
    </row>
    <row r="224" spans="1:7">
      <c r="A224" s="78" t="s">
        <v>192</v>
      </c>
      <c r="B224" s="89">
        <v>1.91437893751776</v>
      </c>
      <c r="C224" s="79">
        <f t="shared" si="4"/>
        <v>1.80326146852183</v>
      </c>
      <c r="D224" s="80">
        <v>0.0992207194519018</v>
      </c>
      <c r="E224" s="80">
        <v>0.00992207194519018</v>
      </c>
      <c r="F224" s="81">
        <v>0.0187749881888137</v>
      </c>
      <c r="G224" s="81">
        <v>0</v>
      </c>
    </row>
    <row r="225" spans="1:7">
      <c r="A225" s="78" t="s">
        <v>193</v>
      </c>
      <c r="B225" s="89">
        <v>1.98927477384278</v>
      </c>
      <c r="C225" s="79">
        <f t="shared" si="4"/>
        <v>1.91437893751776</v>
      </c>
      <c r="D225" s="80">
        <v>0.133134896843583</v>
      </c>
      <c r="E225" s="80">
        <v>0.0133134896843583</v>
      </c>
      <c r="F225" s="81">
        <v>0.0218330952286757</v>
      </c>
      <c r="G225" s="81">
        <v>0</v>
      </c>
    </row>
    <row r="226" spans="1:7">
      <c r="A226" s="78" t="s">
        <v>194</v>
      </c>
      <c r="B226" s="89">
        <v>2.07824381478316</v>
      </c>
      <c r="C226" s="79">
        <f t="shared" si="4"/>
        <v>1.98927477384278</v>
      </c>
      <c r="D226" s="80">
        <v>0.170245151330524</v>
      </c>
      <c r="E226" s="80">
        <v>0.0170245151330524</v>
      </c>
      <c r="F226" s="81">
        <v>0.0251793987284451</v>
      </c>
      <c r="G226" s="81">
        <v>0</v>
      </c>
    </row>
    <row r="227" spans="1:7">
      <c r="A227" s="78" t="s">
        <v>195</v>
      </c>
      <c r="B227" s="89">
        <v>2.16142014867983</v>
      </c>
      <c r="C227" s="79">
        <f t="shared" si="4"/>
        <v>2.07824381478316</v>
      </c>
      <c r="D227" s="80">
        <v>0.202175993831212</v>
      </c>
      <c r="E227" s="80">
        <v>0.0202175993831212</v>
      </c>
      <c r="F227" s="81">
        <v>0.0280586646210635</v>
      </c>
      <c r="G227" s="81">
        <v>0</v>
      </c>
    </row>
    <row r="228" spans="1:7">
      <c r="A228" s="78" t="s">
        <v>196</v>
      </c>
      <c r="B228" s="89">
        <v>2.215607006731</v>
      </c>
      <c r="C228" s="79">
        <f t="shared" si="4"/>
        <v>2.16142014867983</v>
      </c>
      <c r="D228" s="80">
        <v>0.221688288223111</v>
      </c>
      <c r="E228" s="80">
        <v>0.0221688288223111</v>
      </c>
      <c r="F228" s="81">
        <v>0.0298181259859842</v>
      </c>
      <c r="G228" s="81">
        <v>0</v>
      </c>
    </row>
    <row r="229" spans="1:7">
      <c r="A229" s="78" t="s">
        <v>197</v>
      </c>
      <c r="B229" s="89">
        <v>2.31415598290598</v>
      </c>
      <c r="C229" s="79">
        <f t="shared" si="4"/>
        <v>2.215607006731</v>
      </c>
      <c r="D229" s="80">
        <v>0.254832908943228</v>
      </c>
      <c r="E229" s="80">
        <v>0.0254832908943228</v>
      </c>
      <c r="F229" s="81">
        <v>0.0328068406107596</v>
      </c>
      <c r="G229" s="81">
        <v>0</v>
      </c>
    </row>
    <row r="230" spans="1:7">
      <c r="A230" s="78" t="s">
        <v>198</v>
      </c>
      <c r="B230" s="89">
        <v>2.3988315756312</v>
      </c>
      <c r="C230" s="79">
        <f t="shared" si="4"/>
        <v>2.31415598290598</v>
      </c>
      <c r="D230" s="80">
        <v>0.281136325054446</v>
      </c>
      <c r="E230" s="80">
        <v>0.0281136325054446</v>
      </c>
      <c r="F230" s="81">
        <v>0.0351786705700458</v>
      </c>
      <c r="G230" s="81">
        <v>0</v>
      </c>
    </row>
    <row r="231" spans="1:7">
      <c r="A231" s="78" t="s">
        <v>199</v>
      </c>
      <c r="B231" s="89">
        <v>2.56445137459126</v>
      </c>
      <c r="C231" s="79">
        <f t="shared" si="4"/>
        <v>2.3988315756312</v>
      </c>
      <c r="D231" s="80">
        <v>0.327562651754888</v>
      </c>
      <c r="E231" s="80">
        <v>0.0327562651754888</v>
      </c>
      <c r="F231" s="81">
        <v>0.0393650223390372</v>
      </c>
      <c r="G231" s="81">
        <v>0</v>
      </c>
    </row>
    <row r="232" spans="1:7">
      <c r="A232" s="78" t="s">
        <v>200</v>
      </c>
      <c r="B232" s="89">
        <v>2.87939736460348</v>
      </c>
      <c r="C232" s="79">
        <f t="shared" si="4"/>
        <v>2.56445137459126</v>
      </c>
      <c r="D232" s="80">
        <v>0.401113266535498</v>
      </c>
      <c r="E232" s="80">
        <v>0.0406679599212985</v>
      </c>
      <c r="F232" s="81">
        <v>0.0759833420927387</v>
      </c>
      <c r="G232" s="81">
        <v>0</v>
      </c>
    </row>
    <row r="233" spans="1:7">
      <c r="A233" s="78" t="s">
        <v>201</v>
      </c>
      <c r="B233" s="89">
        <v>2.9598899958489</v>
      </c>
      <c r="C233" s="79">
        <f t="shared" si="4"/>
        <v>2.87939736460348</v>
      </c>
      <c r="D233" s="80">
        <v>0.417399672132374</v>
      </c>
      <c r="E233" s="80">
        <v>0.0504398032794242</v>
      </c>
      <c r="F233" s="81">
        <v>0.0847948024506841</v>
      </c>
      <c r="G233" s="81">
        <v>0.00269908665392774</v>
      </c>
    </row>
    <row r="234" spans="1:7">
      <c r="A234" s="78" t="s">
        <v>202</v>
      </c>
      <c r="B234" s="89">
        <v>3.20952380952381</v>
      </c>
      <c r="C234" s="79">
        <f t="shared" si="4"/>
        <v>2.9598899958489</v>
      </c>
      <c r="D234" s="80">
        <v>0.462713790464285</v>
      </c>
      <c r="E234" s="80">
        <v>0.0776282742785709</v>
      </c>
      <c r="F234" s="81">
        <v>0.109311173172378</v>
      </c>
      <c r="G234" s="81">
        <v>0.0102670623145401</v>
      </c>
    </row>
    <row r="235" spans="1:7">
      <c r="A235" s="78" t="s">
        <v>203</v>
      </c>
      <c r="B235" s="89">
        <v>3.31093514328808</v>
      </c>
      <c r="C235" s="79">
        <f t="shared" si="4"/>
        <v>3.20952380952381</v>
      </c>
      <c r="D235" s="80">
        <v>0.479170443574094</v>
      </c>
      <c r="E235" s="80">
        <v>0.0875022661444564</v>
      </c>
      <c r="F235" s="81">
        <v>0.118214742817565</v>
      </c>
      <c r="G235" s="81">
        <v>0.0130155114684646</v>
      </c>
    </row>
    <row r="236" spans="1:7">
      <c r="A236" s="78" t="s">
        <v>204</v>
      </c>
      <c r="B236" s="89">
        <v>3.41648911533117</v>
      </c>
      <c r="C236" s="79">
        <f t="shared" si="4"/>
        <v>3.31093514328808</v>
      </c>
      <c r="D236" s="80">
        <v>0.495261707612225</v>
      </c>
      <c r="E236" s="80">
        <v>0.0971570245673349</v>
      </c>
      <c r="F236" s="81">
        <v>0.126920625422405</v>
      </c>
      <c r="G236" s="81">
        <v>0.0157029364713538</v>
      </c>
    </row>
    <row r="237" spans="1:7">
      <c r="A237" s="78" t="s">
        <v>205</v>
      </c>
      <c r="B237" s="89">
        <v>3.59173998488284</v>
      </c>
      <c r="C237" s="79">
        <f t="shared" si="4"/>
        <v>3.41648911533117</v>
      </c>
      <c r="D237" s="80">
        <v>0.519889276703886</v>
      </c>
      <c r="E237" s="80">
        <v>0.111933566022331</v>
      </c>
      <c r="F237" s="81">
        <v>0.140244918955004</v>
      </c>
      <c r="G237" s="81">
        <v>0.0198160219803901</v>
      </c>
    </row>
    <row r="238" spans="1:7">
      <c r="A238" s="78" t="s">
        <v>206</v>
      </c>
      <c r="B238" s="89">
        <v>3.80795918367347</v>
      </c>
      <c r="C238" s="79">
        <f t="shared" si="4"/>
        <v>3.59173998488284</v>
      </c>
      <c r="D238" s="80">
        <v>0.547150376656573</v>
      </c>
      <c r="E238" s="80">
        <v>0.128290225993944</v>
      </c>
      <c r="F238" s="81">
        <v>0.154994035948207</v>
      </c>
      <c r="G238" s="81">
        <v>0.0243689372420816</v>
      </c>
    </row>
    <row r="239" spans="1:7">
      <c r="A239" s="78" t="s">
        <v>207</v>
      </c>
      <c r="B239" s="89">
        <v>4.04866211594528</v>
      </c>
      <c r="C239" s="79">
        <f t="shared" si="4"/>
        <v>3.80795918367347</v>
      </c>
      <c r="D239" s="80">
        <v>0.57407340186721</v>
      </c>
      <c r="E239" s="80">
        <v>0.144444041120326</v>
      </c>
      <c r="F239" s="81">
        <v>0.169560243816996</v>
      </c>
      <c r="G239" s="81">
        <v>0.0288653901579638</v>
      </c>
    </row>
    <row r="240" spans="1:7">
      <c r="A240" s="78" t="s">
        <v>208</v>
      </c>
      <c r="B240" s="89">
        <v>4.31698361680282</v>
      </c>
      <c r="C240" s="79">
        <f t="shared" si="4"/>
        <v>4.04866211594528</v>
      </c>
      <c r="D240" s="80">
        <v>0.600546808813048</v>
      </c>
      <c r="E240" s="80">
        <v>0.160328085287829</v>
      </c>
      <c r="F240" s="81">
        <v>0.183883193988871</v>
      </c>
      <c r="G240" s="81">
        <v>0.0332867516848966</v>
      </c>
    </row>
    <row r="241" spans="1:7">
      <c r="A241" s="78" t="s">
        <v>209</v>
      </c>
      <c r="B241" s="89">
        <v>4.37802795031056</v>
      </c>
      <c r="C241" s="79">
        <f t="shared" si="4"/>
        <v>4.31698361680282</v>
      </c>
      <c r="D241" s="80">
        <v>0.606116520587459</v>
      </c>
      <c r="E241" s="80">
        <v>0.163669912352476</v>
      </c>
      <c r="F241" s="81">
        <v>0.186896584157345</v>
      </c>
      <c r="G241" s="81">
        <v>0.0342169572079661</v>
      </c>
    </row>
    <row r="242" spans="1:7">
      <c r="A242" s="78" t="s">
        <v>210</v>
      </c>
      <c r="B242" s="89">
        <v>4.59455859844841</v>
      </c>
      <c r="C242" s="79">
        <f t="shared" si="4"/>
        <v>4.37802795031056</v>
      </c>
      <c r="D242" s="80">
        <v>0.624679314653638</v>
      </c>
      <c r="E242" s="80">
        <v>0.174807588792183</v>
      </c>
      <c r="F242" s="81">
        <v>0.196939642650142</v>
      </c>
      <c r="G242" s="81">
        <v>0.037317155972881</v>
      </c>
    </row>
    <row r="243" spans="1:7">
      <c r="A243" s="78" t="s">
        <v>211</v>
      </c>
      <c r="B243" s="89">
        <v>4.97287146759191</v>
      </c>
      <c r="C243" s="79">
        <f t="shared" si="4"/>
        <v>4.59455859844841</v>
      </c>
      <c r="D243" s="80">
        <v>0.65323196200188</v>
      </c>
      <c r="E243" s="80">
        <v>0.191939177201128</v>
      </c>
      <c r="F243" s="81">
        <v>0.212387527619413</v>
      </c>
      <c r="G243" s="81">
        <v>0.0525146464650581</v>
      </c>
    </row>
    <row r="244" spans="1:7">
      <c r="A244" s="78" t="s">
        <v>212</v>
      </c>
      <c r="B244" s="89">
        <v>5.41949300699301</v>
      </c>
      <c r="C244" s="79">
        <f t="shared" si="4"/>
        <v>4.97287146759191</v>
      </c>
      <c r="D244" s="80">
        <v>0.68180918772133</v>
      </c>
      <c r="E244" s="80">
        <v>0.209085512632798</v>
      </c>
      <c r="F244" s="81">
        <v>0.227848710264606</v>
      </c>
      <c r="G244" s="81">
        <v>0.0811509863062308</v>
      </c>
    </row>
    <row r="245" spans="1:7">
      <c r="A245" s="78" t="s">
        <v>213</v>
      </c>
      <c r="B245" s="89">
        <v>5.62054142275439</v>
      </c>
      <c r="C245" s="79">
        <f t="shared" si="4"/>
        <v>5.41949300699301</v>
      </c>
      <c r="D245" s="80">
        <v>0.69319096643387</v>
      </c>
      <c r="E245" s="80">
        <v>0.215914579860322</v>
      </c>
      <c r="F245" s="81">
        <v>0.234006612407709</v>
      </c>
      <c r="G245" s="81">
        <v>0.0925563090765055</v>
      </c>
    </row>
    <row r="246" spans="1:7">
      <c r="A246" s="78" t="s">
        <v>214</v>
      </c>
      <c r="B246" s="89">
        <v>5.85862037037037</v>
      </c>
      <c r="C246" s="79">
        <f t="shared" si="4"/>
        <v>5.62054142275439</v>
      </c>
      <c r="D246" s="80">
        <v>0.705658879903724</v>
      </c>
      <c r="E246" s="80">
        <v>0.223395327942234</v>
      </c>
      <c r="F246" s="81">
        <v>0.240752147795025</v>
      </c>
      <c r="G246" s="81">
        <v>0.105050013354806</v>
      </c>
    </row>
    <row r="247" spans="1:7">
      <c r="A247" s="78" t="s">
        <v>215</v>
      </c>
      <c r="B247" s="89">
        <v>6.47353653494004</v>
      </c>
      <c r="C247" s="79">
        <f t="shared" si="4"/>
        <v>5.85862037037037</v>
      </c>
      <c r="D247" s="80">
        <v>0.733618112336853</v>
      </c>
      <c r="E247" s="80">
        <v>0.240170867402112</v>
      </c>
      <c r="F247" s="81">
        <v>0.25587897653312</v>
      </c>
      <c r="G247" s="81">
        <v>0.133067081544477</v>
      </c>
    </row>
    <row r="248" spans="1:7">
      <c r="A248" s="78" t="s">
        <v>216</v>
      </c>
      <c r="B248" s="89">
        <v>8.87545916654678</v>
      </c>
      <c r="C248" s="79">
        <f t="shared" si="4"/>
        <v>6.47353653494004</v>
      </c>
      <c r="D248" s="80">
        <v>0.805707755545383</v>
      </c>
      <c r="E248" s="80">
        <v>0.28342465332723</v>
      </c>
      <c r="F248" s="81">
        <v>0.294881752779356</v>
      </c>
      <c r="G248" s="81">
        <v>0.20530584755399</v>
      </c>
    </row>
    <row r="249" spans="1:7">
      <c r="A249" s="78" t="s">
        <v>217</v>
      </c>
      <c r="B249" s="89">
        <v>10.697098334869</v>
      </c>
      <c r="C249" s="79">
        <f t="shared" si="4"/>
        <v>8.87545916654678</v>
      </c>
      <c r="D249" s="80">
        <v>0.838794332065492</v>
      </c>
      <c r="E249" s="80">
        <v>0.303276599239295</v>
      </c>
      <c r="F249" s="81">
        <v>0.312782636780611</v>
      </c>
      <c r="G249" s="81">
        <v>0.238460866124107</v>
      </c>
    </row>
    <row r="250" spans="1:7">
      <c r="A250" s="78" t="s">
        <v>218</v>
      </c>
      <c r="B250" s="89">
        <v>12.2415389527458</v>
      </c>
      <c r="C250" s="79">
        <f t="shared" si="4"/>
        <v>10.697098334869</v>
      </c>
      <c r="D250" s="80">
        <v>0.859132672069235</v>
      </c>
      <c r="E250" s="80">
        <v>0.315479603241541</v>
      </c>
      <c r="F250" s="81">
        <v>0.323786321763366</v>
      </c>
      <c r="G250" s="81">
        <v>0.258841277500293</v>
      </c>
    </row>
    <row r="251" spans="1:7">
      <c r="A251" s="78" t="s">
        <v>219</v>
      </c>
      <c r="B251" s="89">
        <v>17.2679152808019</v>
      </c>
      <c r="C251" s="79">
        <f t="shared" si="4"/>
        <v>12.2415389527458</v>
      </c>
      <c r="D251" s="80">
        <v>0.900136591244986</v>
      </c>
      <c r="E251" s="80">
        <v>0.340081954746992</v>
      </c>
      <c r="F251" s="81">
        <v>0.345970738465282</v>
      </c>
      <c r="G251" s="81">
        <v>0.299930016339543</v>
      </c>
    </row>
    <row r="252" spans="1:7">
      <c r="A252" s="78" t="s">
        <v>220</v>
      </c>
      <c r="B252" s="89">
        <v>25.5190945354556</v>
      </c>
      <c r="C252" s="79">
        <f t="shared" si="4"/>
        <v>17.2679152808019</v>
      </c>
      <c r="D252" s="80">
        <v>0.932425781030836</v>
      </c>
      <c r="E252" s="80">
        <v>0.359455468618502</v>
      </c>
      <c r="F252" s="81">
        <v>0.363440211032192</v>
      </c>
      <c r="G252" s="81">
        <v>0.3322859987215</v>
      </c>
    </row>
    <row r="253" spans="1:7">
      <c r="A253" s="78" t="s">
        <v>221</v>
      </c>
      <c r="B253" s="282">
        <v>34.9291486291486</v>
      </c>
      <c r="C253" s="79">
        <f t="shared" si="4"/>
        <v>25.5190945354556</v>
      </c>
      <c r="D253" s="80">
        <v>0.95063054927727</v>
      </c>
      <c r="E253" s="80">
        <v>0.370378329566362</v>
      </c>
      <c r="F253" s="81">
        <v>0.373289566236744</v>
      </c>
      <c r="G253" s="81">
        <v>0.350528424888147</v>
      </c>
    </row>
    <row r="254" spans="1:7">
      <c r="A254" s="78" t="s">
        <v>221</v>
      </c>
      <c r="B254" s="78" t="s">
        <v>349</v>
      </c>
      <c r="C254" s="79">
        <f t="shared" si="4"/>
        <v>34.9291486291486</v>
      </c>
      <c r="D254" s="117"/>
      <c r="E254" s="83"/>
      <c r="F254" s="84"/>
      <c r="G254" s="84"/>
    </row>
    <row r="255" spans="1:7">
      <c r="A255" s="78"/>
      <c r="B255" s="78">
        <v>5.4</v>
      </c>
      <c r="C255" s="78"/>
      <c r="D255" s="117"/>
      <c r="E255" s="85">
        <v>0.0892568392051726</v>
      </c>
      <c r="F255" s="86">
        <v>0.0999473281625752</v>
      </c>
      <c r="G255" s="86">
        <v>0.0473849455805825</v>
      </c>
    </row>
    <row r="256" ht="48" spans="1:7">
      <c r="A256" s="87" t="s">
        <v>233</v>
      </c>
      <c r="B256" s="78">
        <v>4.8</v>
      </c>
      <c r="C256" s="78"/>
      <c r="D256" s="117"/>
      <c r="E256" s="127">
        <v>2.87405480338946</v>
      </c>
      <c r="F256" s="128">
        <v>2.5915908635161</v>
      </c>
      <c r="G256" s="129">
        <v>4.8</v>
      </c>
    </row>
    <row r="257" ht="48" spans="1:7">
      <c r="A257" s="87" t="s">
        <v>224</v>
      </c>
      <c r="B257" s="78">
        <v>4.87</v>
      </c>
      <c r="C257" s="78"/>
      <c r="D257" s="83"/>
      <c r="E257" s="83"/>
      <c r="F257" s="84"/>
      <c r="G257" s="84"/>
    </row>
    <row r="258" ht="84" spans="1:7">
      <c r="A258" s="106" t="s">
        <v>225</v>
      </c>
      <c r="B258" s="78">
        <v>2.88</v>
      </c>
      <c r="C258" s="78"/>
      <c r="D258" s="83"/>
      <c r="E258" s="83">
        <v>1.72443288203368</v>
      </c>
      <c r="F258" s="84">
        <v>1.55495451810966</v>
      </c>
      <c r="G258" s="84">
        <v>2.88</v>
      </c>
    </row>
    <row r="261" spans="1:3">
      <c r="A261" s="531" t="s">
        <v>226</v>
      </c>
      <c r="B261" s="95">
        <f>AVERAGE(B209:B248)</f>
        <v>2.87405480338946</v>
      </c>
      <c r="C261" s="95"/>
    </row>
    <row r="262" spans="1:3">
      <c r="A262" s="531" t="s">
        <v>227</v>
      </c>
      <c r="B262" s="96">
        <f>AVERAGE(B214:B243)</f>
        <v>2.5915908635161</v>
      </c>
      <c r="C262" s="96"/>
    </row>
    <row r="263" spans="1:3">
      <c r="A263" s="531" t="s">
        <v>228</v>
      </c>
      <c r="B263" s="96">
        <f>AVERAGE(B220:B238)</f>
        <v>2.5058874222709</v>
      </c>
      <c r="C263" s="96"/>
    </row>
    <row r="267" ht="15.75" spans="3:3">
      <c r="C267" s="130"/>
    </row>
    <row r="270" spans="3:3">
      <c r="C270">
        <v>0</v>
      </c>
    </row>
    <row r="271" spans="3:3">
      <c r="C271" s="79">
        <f>B270</f>
        <v>0</v>
      </c>
    </row>
    <row r="272" spans="3:3">
      <c r="C272" s="79">
        <f t="shared" ref="C272:C320" si="5">B271</f>
        <v>0</v>
      </c>
    </row>
    <row r="273" spans="3:3">
      <c r="C273" s="79">
        <f t="shared" si="5"/>
        <v>0</v>
      </c>
    </row>
    <row r="274" spans="3:3">
      <c r="C274" s="79">
        <f t="shared" si="5"/>
        <v>0</v>
      </c>
    </row>
    <row r="275" spans="3:3">
      <c r="C275" s="79">
        <f t="shared" si="5"/>
        <v>0</v>
      </c>
    </row>
    <row r="276" spans="3:3">
      <c r="C276" s="79">
        <f t="shared" si="5"/>
        <v>0</v>
      </c>
    </row>
    <row r="277" spans="3:3">
      <c r="C277" s="79">
        <f t="shared" si="5"/>
        <v>0</v>
      </c>
    </row>
    <row r="278" spans="3:3">
      <c r="C278" s="79">
        <f t="shared" si="5"/>
        <v>0</v>
      </c>
    </row>
    <row r="279" spans="3:3">
      <c r="C279" s="79">
        <f t="shared" si="5"/>
        <v>0</v>
      </c>
    </row>
    <row r="280" spans="3:3">
      <c r="C280" s="79">
        <f t="shared" si="5"/>
        <v>0</v>
      </c>
    </row>
    <row r="281" spans="3:3">
      <c r="C281" s="79">
        <f t="shared" si="5"/>
        <v>0</v>
      </c>
    </row>
    <row r="282" spans="3:3">
      <c r="C282" s="79">
        <f t="shared" si="5"/>
        <v>0</v>
      </c>
    </row>
    <row r="283" spans="3:3">
      <c r="C283" s="79">
        <f t="shared" si="5"/>
        <v>0</v>
      </c>
    </row>
    <row r="284" spans="3:3">
      <c r="C284" s="79">
        <f t="shared" si="5"/>
        <v>0</v>
      </c>
    </row>
    <row r="285" spans="3:3">
      <c r="C285" s="79">
        <f t="shared" si="5"/>
        <v>0</v>
      </c>
    </row>
    <row r="286" spans="3:3">
      <c r="C286" s="79">
        <f t="shared" si="5"/>
        <v>0</v>
      </c>
    </row>
    <row r="287" spans="3:3">
      <c r="C287" s="79">
        <f t="shared" si="5"/>
        <v>0</v>
      </c>
    </row>
    <row r="288" spans="3:3">
      <c r="C288" s="79">
        <f t="shared" si="5"/>
        <v>0</v>
      </c>
    </row>
    <row r="289" spans="3:3">
      <c r="C289" s="79">
        <f t="shared" si="5"/>
        <v>0</v>
      </c>
    </row>
    <row r="290" spans="3:3">
      <c r="C290" s="79">
        <f t="shared" si="5"/>
        <v>0</v>
      </c>
    </row>
    <row r="291" spans="3:3">
      <c r="C291" s="79">
        <f t="shared" si="5"/>
        <v>0</v>
      </c>
    </row>
    <row r="292" spans="3:3">
      <c r="C292" s="79">
        <f t="shared" si="5"/>
        <v>0</v>
      </c>
    </row>
    <row r="293" spans="3:3">
      <c r="C293" s="79">
        <f t="shared" si="5"/>
        <v>0</v>
      </c>
    </row>
    <row r="294" spans="3:3">
      <c r="C294" s="79">
        <f t="shared" si="5"/>
        <v>0</v>
      </c>
    </row>
    <row r="295" spans="3:3">
      <c r="C295" s="79">
        <f t="shared" si="5"/>
        <v>0</v>
      </c>
    </row>
    <row r="296" spans="3:3">
      <c r="C296" s="79">
        <f t="shared" si="5"/>
        <v>0</v>
      </c>
    </row>
    <row r="297" spans="3:3">
      <c r="C297" s="79">
        <f t="shared" si="5"/>
        <v>0</v>
      </c>
    </row>
    <row r="298" spans="3:3">
      <c r="C298" s="79">
        <f t="shared" si="5"/>
        <v>0</v>
      </c>
    </row>
    <row r="299" spans="3:3">
      <c r="C299" s="79">
        <f t="shared" si="5"/>
        <v>0</v>
      </c>
    </row>
    <row r="300" spans="3:3">
      <c r="C300" s="79">
        <f t="shared" si="5"/>
        <v>0</v>
      </c>
    </row>
    <row r="301" spans="3:3">
      <c r="C301" s="79">
        <f t="shared" si="5"/>
        <v>0</v>
      </c>
    </row>
    <row r="302" spans="3:3">
      <c r="C302" s="79">
        <f t="shared" si="5"/>
        <v>0</v>
      </c>
    </row>
    <row r="303" spans="3:3">
      <c r="C303" s="79">
        <f t="shared" si="5"/>
        <v>0</v>
      </c>
    </row>
    <row r="304" spans="3:3">
      <c r="C304" s="79">
        <f t="shared" si="5"/>
        <v>0</v>
      </c>
    </row>
    <row r="305" spans="3:3">
      <c r="C305" s="79">
        <f t="shared" si="5"/>
        <v>0</v>
      </c>
    </row>
    <row r="306" spans="3:3">
      <c r="C306" s="79">
        <f t="shared" si="5"/>
        <v>0</v>
      </c>
    </row>
    <row r="307" spans="3:3">
      <c r="C307" s="79">
        <f t="shared" si="5"/>
        <v>0</v>
      </c>
    </row>
    <row r="308" spans="3:3">
      <c r="C308" s="79">
        <f t="shared" si="5"/>
        <v>0</v>
      </c>
    </row>
    <row r="309" spans="3:3">
      <c r="C309" s="79">
        <f t="shared" si="5"/>
        <v>0</v>
      </c>
    </row>
    <row r="310" spans="3:3">
      <c r="C310" s="79">
        <f t="shared" si="5"/>
        <v>0</v>
      </c>
    </row>
    <row r="311" spans="3:3">
      <c r="C311" s="79">
        <f t="shared" si="5"/>
        <v>0</v>
      </c>
    </row>
    <row r="312" spans="3:3">
      <c r="C312" s="79">
        <f t="shared" si="5"/>
        <v>0</v>
      </c>
    </row>
    <row r="313" spans="3:3">
      <c r="C313" s="79">
        <f t="shared" si="5"/>
        <v>0</v>
      </c>
    </row>
    <row r="314" spans="3:3">
      <c r="C314" s="79">
        <f t="shared" si="5"/>
        <v>0</v>
      </c>
    </row>
    <row r="315" spans="3:3">
      <c r="C315" s="79">
        <f t="shared" si="5"/>
        <v>0</v>
      </c>
    </row>
    <row r="316" spans="3:3">
      <c r="C316" s="79">
        <f t="shared" si="5"/>
        <v>0</v>
      </c>
    </row>
    <row r="317" spans="3:3">
      <c r="C317" s="79">
        <f t="shared" si="5"/>
        <v>0</v>
      </c>
    </row>
    <row r="318" spans="3:3">
      <c r="C318" s="79">
        <f t="shared" si="5"/>
        <v>0</v>
      </c>
    </row>
    <row r="319" spans="3:3">
      <c r="C319" s="79">
        <f t="shared" si="5"/>
        <v>0</v>
      </c>
    </row>
    <row r="320" spans="3:3">
      <c r="C320" s="79">
        <f t="shared" si="5"/>
        <v>0</v>
      </c>
    </row>
    <row r="336" ht="15.75" spans="3:3">
      <c r="C336" s="131"/>
    </row>
    <row r="337" spans="3:3">
      <c r="C337">
        <v>0</v>
      </c>
    </row>
    <row r="338" spans="3:3">
      <c r="C338" s="79">
        <f>B337</f>
        <v>0</v>
      </c>
    </row>
    <row r="339" spans="3:3">
      <c r="C339" s="79">
        <f t="shared" ref="C339:C387" si="6">B338</f>
        <v>0</v>
      </c>
    </row>
    <row r="340" spans="3:3">
      <c r="C340" s="79">
        <f t="shared" si="6"/>
        <v>0</v>
      </c>
    </row>
    <row r="341" spans="3:3">
      <c r="C341" s="79">
        <f t="shared" si="6"/>
        <v>0</v>
      </c>
    </row>
    <row r="342" spans="3:3">
      <c r="C342" s="79">
        <f t="shared" si="6"/>
        <v>0</v>
      </c>
    </row>
    <row r="343" spans="3:3">
      <c r="C343" s="79">
        <f t="shared" si="6"/>
        <v>0</v>
      </c>
    </row>
    <row r="344" spans="3:3">
      <c r="C344" s="79">
        <f t="shared" si="6"/>
        <v>0</v>
      </c>
    </row>
    <row r="345" spans="3:3">
      <c r="C345" s="79">
        <f t="shared" si="6"/>
        <v>0</v>
      </c>
    </row>
    <row r="346" spans="3:3">
      <c r="C346" s="79">
        <f t="shared" si="6"/>
        <v>0</v>
      </c>
    </row>
    <row r="347" spans="3:3">
      <c r="C347" s="79">
        <f t="shared" si="6"/>
        <v>0</v>
      </c>
    </row>
    <row r="348" spans="3:3">
      <c r="C348" s="79">
        <f t="shared" si="6"/>
        <v>0</v>
      </c>
    </row>
    <row r="349" spans="3:3">
      <c r="C349" s="79">
        <f t="shared" si="6"/>
        <v>0</v>
      </c>
    </row>
    <row r="350" spans="3:3">
      <c r="C350" s="79">
        <f t="shared" si="6"/>
        <v>0</v>
      </c>
    </row>
    <row r="351" spans="3:3">
      <c r="C351" s="79">
        <f t="shared" si="6"/>
        <v>0</v>
      </c>
    </row>
    <row r="352" spans="3:3">
      <c r="C352" s="79">
        <f t="shared" si="6"/>
        <v>0</v>
      </c>
    </row>
    <row r="353" spans="3:3">
      <c r="C353" s="79">
        <f t="shared" si="6"/>
        <v>0</v>
      </c>
    </row>
    <row r="354" spans="3:3">
      <c r="C354" s="79">
        <f t="shared" si="6"/>
        <v>0</v>
      </c>
    </row>
    <row r="355" spans="3:3">
      <c r="C355" s="79">
        <f t="shared" si="6"/>
        <v>0</v>
      </c>
    </row>
    <row r="356" spans="3:3">
      <c r="C356" s="79">
        <f t="shared" si="6"/>
        <v>0</v>
      </c>
    </row>
    <row r="357" spans="3:3">
      <c r="C357" s="79">
        <f t="shared" si="6"/>
        <v>0</v>
      </c>
    </row>
    <row r="358" spans="3:3">
      <c r="C358" s="79">
        <f t="shared" si="6"/>
        <v>0</v>
      </c>
    </row>
    <row r="359" spans="3:3">
      <c r="C359" s="79">
        <f t="shared" si="6"/>
        <v>0</v>
      </c>
    </row>
    <row r="360" spans="3:3">
      <c r="C360" s="79">
        <f t="shared" si="6"/>
        <v>0</v>
      </c>
    </row>
    <row r="361" spans="3:3">
      <c r="C361" s="79">
        <f t="shared" si="6"/>
        <v>0</v>
      </c>
    </row>
    <row r="362" spans="3:3">
      <c r="C362" s="79">
        <f t="shared" si="6"/>
        <v>0</v>
      </c>
    </row>
    <row r="363" spans="3:3">
      <c r="C363" s="79">
        <f t="shared" si="6"/>
        <v>0</v>
      </c>
    </row>
    <row r="364" spans="3:3">
      <c r="C364" s="79">
        <f t="shared" si="6"/>
        <v>0</v>
      </c>
    </row>
    <row r="365" spans="3:3">
      <c r="C365" s="79">
        <f t="shared" si="6"/>
        <v>0</v>
      </c>
    </row>
    <row r="366" spans="3:3">
      <c r="C366" s="79">
        <f t="shared" si="6"/>
        <v>0</v>
      </c>
    </row>
    <row r="367" spans="3:3">
      <c r="C367" s="79">
        <f t="shared" si="6"/>
        <v>0</v>
      </c>
    </row>
    <row r="368" spans="3:3">
      <c r="C368" s="79">
        <f t="shared" si="6"/>
        <v>0</v>
      </c>
    </row>
    <row r="369" spans="3:3">
      <c r="C369" s="79">
        <f t="shared" si="6"/>
        <v>0</v>
      </c>
    </row>
    <row r="370" spans="3:3">
      <c r="C370" s="79">
        <f t="shared" si="6"/>
        <v>0</v>
      </c>
    </row>
    <row r="371" spans="3:3">
      <c r="C371" s="79">
        <f t="shared" si="6"/>
        <v>0</v>
      </c>
    </row>
    <row r="372" spans="3:3">
      <c r="C372" s="79">
        <f t="shared" si="6"/>
        <v>0</v>
      </c>
    </row>
    <row r="373" spans="3:3">
      <c r="C373" s="79">
        <f t="shared" si="6"/>
        <v>0</v>
      </c>
    </row>
    <row r="374" spans="3:3">
      <c r="C374" s="79">
        <f t="shared" si="6"/>
        <v>0</v>
      </c>
    </row>
    <row r="375" spans="3:3">
      <c r="C375" s="79">
        <f t="shared" si="6"/>
        <v>0</v>
      </c>
    </row>
    <row r="376" spans="3:3">
      <c r="C376" s="79">
        <f t="shared" si="6"/>
        <v>0</v>
      </c>
    </row>
    <row r="377" spans="3:3">
      <c r="C377" s="79">
        <f t="shared" si="6"/>
        <v>0</v>
      </c>
    </row>
    <row r="378" spans="3:3">
      <c r="C378" s="79">
        <f t="shared" si="6"/>
        <v>0</v>
      </c>
    </row>
    <row r="379" spans="3:3">
      <c r="C379" s="79">
        <f t="shared" si="6"/>
        <v>0</v>
      </c>
    </row>
    <row r="380" spans="3:3">
      <c r="C380" s="79">
        <f t="shared" si="6"/>
        <v>0</v>
      </c>
    </row>
    <row r="381" spans="3:3">
      <c r="C381" s="79">
        <f t="shared" si="6"/>
        <v>0</v>
      </c>
    </row>
    <row r="382" spans="3:3">
      <c r="C382" s="79">
        <f t="shared" si="6"/>
        <v>0</v>
      </c>
    </row>
    <row r="383" spans="3:3">
      <c r="C383" s="79">
        <f t="shared" si="6"/>
        <v>0</v>
      </c>
    </row>
    <row r="384" spans="3:3">
      <c r="C384" s="79">
        <f t="shared" si="6"/>
        <v>0</v>
      </c>
    </row>
    <row r="385" spans="3:3">
      <c r="C385" s="79">
        <f t="shared" si="6"/>
        <v>0</v>
      </c>
    </row>
    <row r="386" spans="3:3">
      <c r="C386" s="79">
        <f t="shared" si="6"/>
        <v>0</v>
      </c>
    </row>
    <row r="387" spans="3:3">
      <c r="C387" s="79">
        <f t="shared" si="6"/>
        <v>0</v>
      </c>
    </row>
    <row r="402" spans="3:3">
      <c r="C402">
        <v>0</v>
      </c>
    </row>
    <row r="403" spans="3:3">
      <c r="C403" s="79">
        <f>B402</f>
        <v>0</v>
      </c>
    </row>
    <row r="404" spans="3:3">
      <c r="C404" s="79">
        <f t="shared" ref="C404:C452" si="7">B403</f>
        <v>0</v>
      </c>
    </row>
    <row r="405" spans="3:3">
      <c r="C405" s="79">
        <f t="shared" si="7"/>
        <v>0</v>
      </c>
    </row>
    <row r="406" spans="3:3">
      <c r="C406" s="79">
        <f t="shared" si="7"/>
        <v>0</v>
      </c>
    </row>
    <row r="407" spans="3:3">
      <c r="C407" s="79">
        <f t="shared" si="7"/>
        <v>0</v>
      </c>
    </row>
    <row r="408" spans="3:3">
      <c r="C408" s="79">
        <f t="shared" si="7"/>
        <v>0</v>
      </c>
    </row>
    <row r="409" spans="3:3">
      <c r="C409" s="79">
        <f t="shared" si="7"/>
        <v>0</v>
      </c>
    </row>
    <row r="410" spans="3:3">
      <c r="C410" s="79">
        <f t="shared" si="7"/>
        <v>0</v>
      </c>
    </row>
    <row r="411" spans="3:3">
      <c r="C411" s="79">
        <f t="shared" si="7"/>
        <v>0</v>
      </c>
    </row>
    <row r="412" spans="3:3">
      <c r="C412" s="79">
        <f t="shared" si="7"/>
        <v>0</v>
      </c>
    </row>
    <row r="413" spans="3:3">
      <c r="C413" s="79">
        <f t="shared" si="7"/>
        <v>0</v>
      </c>
    </row>
    <row r="414" spans="3:3">
      <c r="C414" s="79">
        <f t="shared" si="7"/>
        <v>0</v>
      </c>
    </row>
    <row r="415" spans="3:3">
      <c r="C415" s="79">
        <f t="shared" si="7"/>
        <v>0</v>
      </c>
    </row>
    <row r="416" spans="3:3">
      <c r="C416" s="79">
        <f t="shared" si="7"/>
        <v>0</v>
      </c>
    </row>
    <row r="417" spans="3:3">
      <c r="C417" s="79">
        <f t="shared" si="7"/>
        <v>0</v>
      </c>
    </row>
    <row r="418" spans="3:3">
      <c r="C418" s="79">
        <f t="shared" si="7"/>
        <v>0</v>
      </c>
    </row>
    <row r="419" spans="3:3">
      <c r="C419" s="79">
        <f t="shared" si="7"/>
        <v>0</v>
      </c>
    </row>
    <row r="420" spans="3:3">
      <c r="C420" s="79">
        <f t="shared" si="7"/>
        <v>0</v>
      </c>
    </row>
    <row r="421" spans="3:3">
      <c r="C421" s="79">
        <f t="shared" si="7"/>
        <v>0</v>
      </c>
    </row>
    <row r="422" spans="3:3">
      <c r="C422" s="79">
        <f t="shared" si="7"/>
        <v>0</v>
      </c>
    </row>
    <row r="423" spans="3:3">
      <c r="C423" s="79">
        <f t="shared" si="7"/>
        <v>0</v>
      </c>
    </row>
    <row r="424" spans="3:3">
      <c r="C424" s="79">
        <f t="shared" si="7"/>
        <v>0</v>
      </c>
    </row>
    <row r="425" spans="3:3">
      <c r="C425" s="79">
        <f t="shared" si="7"/>
        <v>0</v>
      </c>
    </row>
    <row r="426" spans="3:3">
      <c r="C426" s="79">
        <f t="shared" si="7"/>
        <v>0</v>
      </c>
    </row>
    <row r="427" spans="3:3">
      <c r="C427" s="79">
        <f t="shared" si="7"/>
        <v>0</v>
      </c>
    </row>
    <row r="428" spans="3:3">
      <c r="C428" s="79">
        <f t="shared" si="7"/>
        <v>0</v>
      </c>
    </row>
    <row r="429" spans="3:3">
      <c r="C429" s="79">
        <f t="shared" si="7"/>
        <v>0</v>
      </c>
    </row>
    <row r="430" spans="3:3">
      <c r="C430" s="79">
        <f t="shared" si="7"/>
        <v>0</v>
      </c>
    </row>
    <row r="431" spans="3:3">
      <c r="C431" s="79">
        <f t="shared" si="7"/>
        <v>0</v>
      </c>
    </row>
    <row r="432" spans="3:3">
      <c r="C432" s="79">
        <f t="shared" si="7"/>
        <v>0</v>
      </c>
    </row>
    <row r="433" spans="3:3">
      <c r="C433" s="79">
        <f t="shared" si="7"/>
        <v>0</v>
      </c>
    </row>
    <row r="434" spans="3:3">
      <c r="C434" s="79">
        <f t="shared" si="7"/>
        <v>0</v>
      </c>
    </row>
    <row r="435" spans="3:3">
      <c r="C435" s="79">
        <f t="shared" si="7"/>
        <v>0</v>
      </c>
    </row>
    <row r="436" spans="3:3">
      <c r="C436" s="79">
        <f t="shared" si="7"/>
        <v>0</v>
      </c>
    </row>
    <row r="437" spans="3:3">
      <c r="C437" s="79">
        <f t="shared" si="7"/>
        <v>0</v>
      </c>
    </row>
    <row r="438" spans="3:3">
      <c r="C438" s="79">
        <f t="shared" si="7"/>
        <v>0</v>
      </c>
    </row>
    <row r="439" spans="3:3">
      <c r="C439" s="79">
        <f t="shared" si="7"/>
        <v>0</v>
      </c>
    </row>
    <row r="440" spans="3:3">
      <c r="C440" s="79">
        <f t="shared" si="7"/>
        <v>0</v>
      </c>
    </row>
    <row r="441" spans="3:3">
      <c r="C441" s="79">
        <f t="shared" si="7"/>
        <v>0</v>
      </c>
    </row>
    <row r="442" spans="3:3">
      <c r="C442" s="79">
        <f t="shared" si="7"/>
        <v>0</v>
      </c>
    </row>
    <row r="443" spans="3:3">
      <c r="C443" s="79">
        <f t="shared" si="7"/>
        <v>0</v>
      </c>
    </row>
    <row r="444" spans="3:3">
      <c r="C444" s="79">
        <f t="shared" si="7"/>
        <v>0</v>
      </c>
    </row>
    <row r="445" spans="3:3">
      <c r="C445" s="79">
        <f t="shared" si="7"/>
        <v>0</v>
      </c>
    </row>
    <row r="446" spans="3:3">
      <c r="C446" s="79">
        <f t="shared" si="7"/>
        <v>0</v>
      </c>
    </row>
    <row r="447" spans="3:3">
      <c r="C447" s="79">
        <f t="shared" si="7"/>
        <v>0</v>
      </c>
    </row>
    <row r="448" spans="3:3">
      <c r="C448" s="79">
        <f t="shared" si="7"/>
        <v>0</v>
      </c>
    </row>
    <row r="449" spans="3:3">
      <c r="C449" s="79">
        <f t="shared" si="7"/>
        <v>0</v>
      </c>
    </row>
    <row r="450" spans="3:3">
      <c r="C450" s="79">
        <f t="shared" si="7"/>
        <v>0</v>
      </c>
    </row>
    <row r="451" spans="3:3">
      <c r="C451" s="79">
        <f t="shared" si="7"/>
        <v>0</v>
      </c>
    </row>
    <row r="452" spans="3:3">
      <c r="C452" s="79">
        <f t="shared" si="7"/>
        <v>0</v>
      </c>
    </row>
  </sheetData>
  <mergeCells count="8">
    <mergeCell ref="B2:D2"/>
    <mergeCell ref="B69:D69"/>
    <mergeCell ref="B134:D134"/>
    <mergeCell ref="B200:D200"/>
    <mergeCell ref="A2:A4"/>
    <mergeCell ref="A69:A71"/>
    <mergeCell ref="A134:A136"/>
    <mergeCell ref="A200:A202"/>
  </mergeCells>
  <pageMargins left="0.7" right="0.7" top="0.75" bottom="0.75" header="0.3" footer="0.3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Лист4">
    <tabColor rgb="FF92D050"/>
  </sheetPr>
  <dimension ref="A1:G452"/>
  <sheetViews>
    <sheetView topLeftCell="A289" workbookViewId="0">
      <selection activeCell="E222" sqref="E222:G224"/>
    </sheetView>
  </sheetViews>
  <sheetFormatPr defaultColWidth="8.72380952380952" defaultRowHeight="15" outlineLevelCol="6"/>
  <cols>
    <col min="3" max="3" width="9.18095238095238"/>
    <col min="5" max="5" width="9.45714285714286" customWidth="1"/>
    <col min="6" max="6" width="8.72380952380952" style="64"/>
    <col min="7" max="7" width="9.45714285714286" style="64" customWidth="1"/>
  </cols>
  <sheetData>
    <row r="1" ht="15.75" spans="4:5">
      <c r="D1" s="65">
        <v>0.1</v>
      </c>
      <c r="E1" s="65">
        <v>0.4</v>
      </c>
    </row>
    <row r="2" ht="23.25" customHeight="1" spans="1:7">
      <c r="A2" s="252" t="s">
        <v>165</v>
      </c>
      <c r="B2" s="67" t="s">
        <v>166</v>
      </c>
      <c r="C2" s="68"/>
      <c r="D2" s="69"/>
      <c r="E2" s="70">
        <f>(1-E57)^(1/3)-1</f>
        <v>-0.0290045950030368</v>
      </c>
      <c r="F2" s="70">
        <f>(1-F57)^(1/3)-1</f>
        <v>-0.0314075051346879</v>
      </c>
      <c r="G2" s="70"/>
    </row>
    <row r="3" ht="72.75" spans="1:7">
      <c r="A3" s="253"/>
      <c r="B3" s="72" t="s">
        <v>167</v>
      </c>
      <c r="C3" s="72"/>
      <c r="D3" s="72" t="s">
        <v>168</v>
      </c>
      <c r="E3" s="72" t="s">
        <v>169</v>
      </c>
      <c r="F3" s="73" t="s">
        <v>169</v>
      </c>
      <c r="G3" s="73"/>
    </row>
    <row r="4" ht="16.5" customHeight="1" spans="1:7">
      <c r="A4" s="254"/>
      <c r="B4" s="72" t="s">
        <v>170</v>
      </c>
      <c r="C4" s="72"/>
      <c r="D4" s="72" t="s">
        <v>171</v>
      </c>
      <c r="E4" s="72" t="s">
        <v>171</v>
      </c>
      <c r="F4" s="73" t="s">
        <v>171</v>
      </c>
      <c r="G4" s="73"/>
    </row>
    <row r="5" ht="15.75" spans="1:7">
      <c r="A5" s="75">
        <v>1</v>
      </c>
      <c r="B5" s="76">
        <v>2</v>
      </c>
      <c r="C5" s="76"/>
      <c r="D5" s="76">
        <v>3</v>
      </c>
      <c r="E5" s="76">
        <v>4</v>
      </c>
      <c r="F5" s="77">
        <v>5</v>
      </c>
      <c r="G5" s="77"/>
    </row>
    <row r="6" spans="1:7">
      <c r="A6" s="530" t="s">
        <v>172</v>
      </c>
      <c r="B6" s="173">
        <v>2.39820489673552</v>
      </c>
      <c r="C6" s="79">
        <v>0</v>
      </c>
      <c r="D6" s="80">
        <v>0</v>
      </c>
      <c r="E6" s="80">
        <v>0</v>
      </c>
      <c r="F6" s="81">
        <v>0</v>
      </c>
      <c r="G6" s="81">
        <v>0</v>
      </c>
    </row>
    <row r="7" spans="1:7">
      <c r="A7" s="530" t="s">
        <v>173</v>
      </c>
      <c r="B7" s="178">
        <v>3.96515730129447</v>
      </c>
      <c r="C7" s="79">
        <f>B6</f>
        <v>2.39820489673552</v>
      </c>
      <c r="D7" s="80">
        <v>0</v>
      </c>
      <c r="E7" s="80">
        <v>0</v>
      </c>
      <c r="F7" s="81">
        <v>0</v>
      </c>
      <c r="G7" s="81">
        <v>0</v>
      </c>
    </row>
    <row r="8" spans="1:7">
      <c r="A8" s="530" t="s">
        <v>174</v>
      </c>
      <c r="B8" s="178">
        <v>4.65482345488837</v>
      </c>
      <c r="C8" s="79">
        <f t="shared" ref="C8:C56" si="0">B7</f>
        <v>3.96515730129447</v>
      </c>
      <c r="D8" s="80">
        <v>0</v>
      </c>
      <c r="E8" s="80">
        <v>0</v>
      </c>
      <c r="F8" s="81">
        <v>0</v>
      </c>
      <c r="G8" s="81">
        <v>0</v>
      </c>
    </row>
    <row r="9" spans="1:7">
      <c r="A9" s="530" t="s">
        <v>175</v>
      </c>
      <c r="B9" s="178">
        <v>5.12219607769151</v>
      </c>
      <c r="C9" s="79">
        <f t="shared" si="0"/>
        <v>4.65482345488837</v>
      </c>
      <c r="D9" s="80">
        <v>0</v>
      </c>
      <c r="E9" s="80">
        <v>0</v>
      </c>
      <c r="F9" s="81">
        <v>0</v>
      </c>
      <c r="G9" s="81">
        <v>0</v>
      </c>
    </row>
    <row r="10" spans="1:7">
      <c r="A10" s="530" t="s">
        <v>176</v>
      </c>
      <c r="B10" s="178">
        <v>5.81120922797122</v>
      </c>
      <c r="C10" s="79">
        <f t="shared" si="0"/>
        <v>5.12219607769151</v>
      </c>
      <c r="D10" s="80">
        <v>0</v>
      </c>
      <c r="E10" s="80">
        <v>0</v>
      </c>
      <c r="F10" s="81">
        <v>0</v>
      </c>
      <c r="G10" s="81">
        <v>0</v>
      </c>
    </row>
    <row r="11" spans="1:7">
      <c r="A11" s="530" t="s">
        <v>177</v>
      </c>
      <c r="B11" s="178">
        <v>6.73139766513727</v>
      </c>
      <c r="C11" s="79">
        <f t="shared" si="0"/>
        <v>5.81120922797122</v>
      </c>
      <c r="D11" s="80">
        <v>0</v>
      </c>
      <c r="E11" s="80">
        <v>0</v>
      </c>
      <c r="F11" s="81">
        <v>0</v>
      </c>
      <c r="G11" s="81">
        <v>0.0108654651161863</v>
      </c>
    </row>
    <row r="12" spans="1:7">
      <c r="A12" s="530" t="s">
        <v>178</v>
      </c>
      <c r="B12" s="178">
        <v>7.4597597825994</v>
      </c>
      <c r="C12" s="79">
        <f t="shared" si="0"/>
        <v>6.73139766513727</v>
      </c>
      <c r="D12" s="80">
        <v>0</v>
      </c>
      <c r="E12" s="80">
        <v>0</v>
      </c>
      <c r="F12" s="81">
        <v>0</v>
      </c>
      <c r="G12" s="81">
        <v>0.0195684556224509</v>
      </c>
    </row>
    <row r="13" spans="1:7">
      <c r="A13" s="78" t="s">
        <v>179</v>
      </c>
      <c r="B13" s="178">
        <v>7.96621216760037</v>
      </c>
      <c r="C13" s="79">
        <f t="shared" si="0"/>
        <v>7.4597597825994</v>
      </c>
      <c r="D13" s="80">
        <v>0</v>
      </c>
      <c r="E13" s="80">
        <v>0</v>
      </c>
      <c r="F13" s="81">
        <v>0</v>
      </c>
      <c r="G13" s="81">
        <v>0.0246818955638317</v>
      </c>
    </row>
    <row r="14" spans="1:7">
      <c r="A14" s="78" t="s">
        <v>180</v>
      </c>
      <c r="B14" s="178">
        <v>8.50173750502809</v>
      </c>
      <c r="C14" s="79">
        <f t="shared" si="0"/>
        <v>7.96621216760037</v>
      </c>
      <c r="D14" s="80">
        <v>0</v>
      </c>
      <c r="E14" s="80">
        <v>0</v>
      </c>
      <c r="F14" s="81">
        <v>0</v>
      </c>
      <c r="G14" s="81">
        <v>0.029426190864497</v>
      </c>
    </row>
    <row r="15" spans="1:7">
      <c r="A15" s="78" t="s">
        <v>181</v>
      </c>
      <c r="B15" s="178">
        <v>8.85966859764439</v>
      </c>
      <c r="C15" s="79">
        <f t="shared" si="0"/>
        <v>8.50173750502809</v>
      </c>
      <c r="D15" s="80">
        <v>0</v>
      </c>
      <c r="E15" s="80">
        <v>0</v>
      </c>
      <c r="F15" s="81">
        <v>0</v>
      </c>
      <c r="G15" s="81">
        <v>0.0322773765872543</v>
      </c>
    </row>
    <row r="16" spans="1:7">
      <c r="A16" s="78" t="s">
        <v>182</v>
      </c>
      <c r="B16" s="178">
        <v>9.17756031793331</v>
      </c>
      <c r="C16" s="79">
        <f t="shared" si="0"/>
        <v>8.85966859764439</v>
      </c>
      <c r="D16" s="80">
        <v>0</v>
      </c>
      <c r="E16" s="80">
        <v>0</v>
      </c>
      <c r="F16" s="81">
        <v>0</v>
      </c>
      <c r="G16" s="81">
        <v>0.0346231482861979</v>
      </c>
    </row>
    <row r="17" spans="1:7">
      <c r="A17" s="78" t="s">
        <v>183</v>
      </c>
      <c r="B17" s="178">
        <v>9.42376374858928</v>
      </c>
      <c r="C17" s="79">
        <f t="shared" si="0"/>
        <v>9.17756031793331</v>
      </c>
      <c r="D17" s="80">
        <v>0</v>
      </c>
      <c r="E17" s="80">
        <v>0</v>
      </c>
      <c r="F17" s="81">
        <v>0</v>
      </c>
      <c r="G17" s="81">
        <v>0.0363311712807084</v>
      </c>
    </row>
    <row r="18" spans="1:7">
      <c r="A18" s="78" t="s">
        <v>184</v>
      </c>
      <c r="B18" s="178">
        <v>9.97078334151031</v>
      </c>
      <c r="C18" s="79">
        <f t="shared" si="0"/>
        <v>9.42376374858928</v>
      </c>
      <c r="D18" s="80">
        <v>0</v>
      </c>
      <c r="E18" s="80">
        <v>0</v>
      </c>
      <c r="F18" s="81">
        <v>0</v>
      </c>
      <c r="G18" s="81">
        <v>0.0398241863804137</v>
      </c>
    </row>
    <row r="19" spans="1:7">
      <c r="A19" s="78" t="s">
        <v>185</v>
      </c>
      <c r="B19" s="178">
        <v>10.5462679118372</v>
      </c>
      <c r="C19" s="79">
        <f t="shared" si="0"/>
        <v>9.97078334151031</v>
      </c>
      <c r="D19" s="80">
        <v>0</v>
      </c>
      <c r="E19" s="80"/>
      <c r="F19" s="81"/>
      <c r="G19" s="81"/>
    </row>
    <row r="20" spans="1:7">
      <c r="A20" s="78" t="s">
        <v>186</v>
      </c>
      <c r="B20" s="178">
        <v>10.9189209793946</v>
      </c>
      <c r="C20" s="79">
        <f t="shared" si="0"/>
        <v>10.5462679118372</v>
      </c>
      <c r="D20" s="80">
        <v>0</v>
      </c>
      <c r="E20" s="80"/>
      <c r="F20" s="81"/>
      <c r="G20" s="81"/>
    </row>
    <row r="21" spans="1:7">
      <c r="A21" s="78" t="s">
        <v>187</v>
      </c>
      <c r="B21" s="178">
        <v>11.1208527955002</v>
      </c>
      <c r="C21" s="79">
        <f t="shared" si="0"/>
        <v>10.9189209793946</v>
      </c>
      <c r="D21" s="80">
        <v>0</v>
      </c>
      <c r="E21" s="80"/>
      <c r="F21" s="81"/>
      <c r="G21" s="81"/>
    </row>
    <row r="22" spans="1:7">
      <c r="A22" s="78" t="s">
        <v>188</v>
      </c>
      <c r="B22" s="178">
        <v>11.5493428280597</v>
      </c>
      <c r="C22" s="79">
        <f t="shared" si="0"/>
        <v>11.1208527955002</v>
      </c>
      <c r="D22" s="80">
        <v>0.0301530244615547</v>
      </c>
      <c r="E22" s="80"/>
      <c r="F22" s="81"/>
      <c r="G22" s="81"/>
    </row>
    <row r="23" spans="1:7">
      <c r="A23" s="78" t="s">
        <v>189</v>
      </c>
      <c r="B23" s="178">
        <v>12.0194711390708</v>
      </c>
      <c r="C23" s="79">
        <f t="shared" si="0"/>
        <v>11.5493428280597</v>
      </c>
      <c r="D23" s="80">
        <v>0.0680875155280581</v>
      </c>
      <c r="E23" s="80"/>
      <c r="F23" s="81"/>
      <c r="G23" s="81"/>
    </row>
    <row r="24" spans="1:7">
      <c r="A24" s="78" t="s">
        <v>190</v>
      </c>
      <c r="B24" s="178">
        <v>12.5546434729951</v>
      </c>
      <c r="C24" s="79">
        <f t="shared" si="0"/>
        <v>12.0194711390708</v>
      </c>
      <c r="D24" s="80">
        <v>0.107812560719566</v>
      </c>
      <c r="E24" s="80">
        <v>0.0107812560719566</v>
      </c>
      <c r="F24" s="81">
        <v>0.015709136650775</v>
      </c>
      <c r="G24" s="81">
        <v>0.11325350594435</v>
      </c>
    </row>
    <row r="25" spans="1:7">
      <c r="A25" s="78" t="s">
        <v>191</v>
      </c>
      <c r="B25" s="178">
        <v>13.1367468613349</v>
      </c>
      <c r="C25" s="79">
        <f t="shared" si="0"/>
        <v>12.5546434729951</v>
      </c>
      <c r="D25" s="80">
        <v>0.147346346132446</v>
      </c>
      <c r="E25" s="80">
        <v>0.0147346346132446</v>
      </c>
      <c r="F25" s="81">
        <v>0.0194441555013006</v>
      </c>
      <c r="G25" s="81">
        <v>0.125959551630259</v>
      </c>
    </row>
    <row r="26" spans="1:7">
      <c r="A26" s="78" t="s">
        <v>192</v>
      </c>
      <c r="B26" s="178">
        <v>13.7422489091284</v>
      </c>
      <c r="C26" s="79">
        <f t="shared" si="0"/>
        <v>13.1367468613349</v>
      </c>
      <c r="D26" s="80">
        <v>0.184915417751609</v>
      </c>
      <c r="E26" s="80">
        <v>0.018491541775161</v>
      </c>
      <c r="F26" s="81">
        <v>0.0229935548120129</v>
      </c>
      <c r="G26" s="81">
        <v>0.138034143915944</v>
      </c>
    </row>
    <row r="27" spans="1:7">
      <c r="A27" s="78" t="s">
        <v>193</v>
      </c>
      <c r="B27" s="178">
        <v>14.417625091186</v>
      </c>
      <c r="C27" s="79">
        <f t="shared" si="0"/>
        <v>13.7422489091284</v>
      </c>
      <c r="D27" s="80">
        <v>0.223097067623299</v>
      </c>
      <c r="E27" s="80">
        <v>0.0223097067623299</v>
      </c>
      <c r="F27" s="81">
        <v>0.0266008284521554</v>
      </c>
      <c r="G27" s="81">
        <v>0.15030561710189</v>
      </c>
    </row>
    <row r="28" spans="1:7">
      <c r="A28" s="78" t="s">
        <v>194</v>
      </c>
      <c r="B28" s="178">
        <v>14.9809318963882</v>
      </c>
      <c r="C28" s="79">
        <f t="shared" si="0"/>
        <v>14.417625091186</v>
      </c>
      <c r="D28" s="80">
        <v>0.25230985036713</v>
      </c>
      <c r="E28" s="80">
        <v>0.025230985036713</v>
      </c>
      <c r="F28" s="81">
        <v>0.0293607537435234</v>
      </c>
      <c r="G28" s="81">
        <v>0.159694522016488</v>
      </c>
    </row>
    <row r="29" spans="1:7">
      <c r="A29" s="78" t="s">
        <v>195</v>
      </c>
      <c r="B29" s="178">
        <v>15.6787241798674</v>
      </c>
      <c r="C29" s="79">
        <f t="shared" si="0"/>
        <v>14.9809318963882</v>
      </c>
      <c r="D29" s="80">
        <v>0.285586309016564</v>
      </c>
      <c r="E29" s="80">
        <v>0.0285586309016564</v>
      </c>
      <c r="F29" s="81">
        <v>0.0325046014433159</v>
      </c>
      <c r="G29" s="81">
        <v>0.170389480757455</v>
      </c>
    </row>
    <row r="30" spans="1:7">
      <c r="A30" s="78" t="s">
        <v>196</v>
      </c>
      <c r="B30" s="178">
        <v>16.4766967818749</v>
      </c>
      <c r="C30" s="79">
        <f t="shared" si="0"/>
        <v>15.6787241798674</v>
      </c>
      <c r="D30" s="80">
        <v>0.320185631893643</v>
      </c>
      <c r="E30" s="80">
        <v>0.0320185631893643</v>
      </c>
      <c r="F30" s="81">
        <v>0.0357734288984073</v>
      </c>
      <c r="G30" s="81">
        <v>0.181509604281838</v>
      </c>
    </row>
    <row r="31" spans="1:7">
      <c r="A31" s="78" t="s">
        <v>197</v>
      </c>
      <c r="B31" s="178">
        <v>17.106544522632</v>
      </c>
      <c r="C31" s="79">
        <f t="shared" si="0"/>
        <v>16.4766967818749</v>
      </c>
      <c r="D31" s="80">
        <v>0.345215791743842</v>
      </c>
      <c r="E31" s="80">
        <v>0.0345215791743842</v>
      </c>
      <c r="F31" s="81">
        <v>0.038138194070672</v>
      </c>
      <c r="G31" s="81">
        <v>0.189554226147941</v>
      </c>
    </row>
    <row r="32" spans="1:7">
      <c r="A32" s="78" t="s">
        <v>198</v>
      </c>
      <c r="B32" s="178">
        <v>17.7219138506037</v>
      </c>
      <c r="C32" s="79">
        <f t="shared" si="0"/>
        <v>17.106544522632</v>
      </c>
      <c r="D32" s="80">
        <v>0.367952281809068</v>
      </c>
      <c r="E32" s="80">
        <v>0.0367952281809068</v>
      </c>
      <c r="F32" s="81">
        <v>0.0417175662962303</v>
      </c>
      <c r="G32" s="81">
        <v>0.196861669098037</v>
      </c>
    </row>
    <row r="33" spans="1:7">
      <c r="A33" s="78" t="s">
        <v>199</v>
      </c>
      <c r="B33" s="178">
        <v>18.2897688932159</v>
      </c>
      <c r="C33" s="79">
        <f t="shared" si="0"/>
        <v>17.7219138506037</v>
      </c>
      <c r="D33" s="80">
        <v>0.387575902317439</v>
      </c>
      <c r="E33" s="80">
        <v>0.0387575902317439</v>
      </c>
      <c r="F33" s="81">
        <v>0.0528414076003998</v>
      </c>
      <c r="G33" s="81">
        <v>0.203168644665853</v>
      </c>
    </row>
    <row r="34" spans="1:7">
      <c r="A34" s="78" t="s">
        <v>200</v>
      </c>
      <c r="B34" s="178">
        <v>18.9164143415856</v>
      </c>
      <c r="C34" s="79">
        <f t="shared" si="0"/>
        <v>18.2897688932159</v>
      </c>
      <c r="D34" s="80">
        <v>0.407863720418409</v>
      </c>
      <c r="E34" s="80">
        <v>0.0447182322510456</v>
      </c>
      <c r="F34" s="81">
        <v>0.0643417558091711</v>
      </c>
      <c r="G34" s="81">
        <v>0.209689091442356</v>
      </c>
    </row>
    <row r="35" spans="1:7">
      <c r="A35" s="78" t="s">
        <v>201</v>
      </c>
      <c r="B35" s="178">
        <v>19.5632523648989</v>
      </c>
      <c r="C35" s="79">
        <f t="shared" si="0"/>
        <v>18.9164143415856</v>
      </c>
      <c r="D35" s="80">
        <v>0.427442073417826</v>
      </c>
      <c r="E35" s="80">
        <v>0.0564652440506953</v>
      </c>
      <c r="F35" s="81">
        <v>0.0754399367829426</v>
      </c>
      <c r="G35" s="81">
        <v>0.21598151816212</v>
      </c>
    </row>
    <row r="36" spans="1:7">
      <c r="A36" s="78" t="s">
        <v>202</v>
      </c>
      <c r="B36" s="178">
        <v>20.5671183006353</v>
      </c>
      <c r="C36" s="79">
        <f t="shared" si="0"/>
        <v>19.5632523648989</v>
      </c>
      <c r="D36" s="80">
        <v>0.455388205215685</v>
      </c>
      <c r="E36" s="80">
        <v>0.0732329231294112</v>
      </c>
      <c r="F36" s="81">
        <v>0.091281475048126</v>
      </c>
      <c r="G36" s="81">
        <v>0.224963325081434</v>
      </c>
    </row>
    <row r="37" spans="1:7">
      <c r="A37" s="78" t="s">
        <v>203</v>
      </c>
      <c r="B37" s="178">
        <v>21.8550589174318</v>
      </c>
      <c r="C37" s="79">
        <f t="shared" si="0"/>
        <v>20.5671183006353</v>
      </c>
      <c r="D37" s="80">
        <v>0.487482726376171</v>
      </c>
      <c r="E37" s="80">
        <v>0.0924896358257027</v>
      </c>
      <c r="F37" s="81">
        <v>0.1094745684159</v>
      </c>
      <c r="G37" s="81">
        <v>0.235278412490181</v>
      </c>
    </row>
    <row r="38" spans="1:7">
      <c r="A38" s="78" t="s">
        <v>204</v>
      </c>
      <c r="B38" s="178">
        <v>22.6635985027554</v>
      </c>
      <c r="C38" s="79">
        <f t="shared" si="0"/>
        <v>21.8550589174318</v>
      </c>
      <c r="D38" s="80">
        <v>0.505767135351939</v>
      </c>
      <c r="E38" s="80">
        <v>0.103460281211163</v>
      </c>
      <c r="F38" s="81">
        <v>0.1198392645585</v>
      </c>
      <c r="G38" s="81">
        <v>0.24115496929747</v>
      </c>
    </row>
    <row r="39" spans="1:7">
      <c r="A39" s="78" t="s">
        <v>205</v>
      </c>
      <c r="B39" s="178">
        <v>23.4172218205039</v>
      </c>
      <c r="C39" s="79">
        <f t="shared" si="0"/>
        <v>22.6635985027554</v>
      </c>
      <c r="D39" s="80">
        <v>0.521672754474969</v>
      </c>
      <c r="E39" s="80">
        <v>0.113003652684981</v>
      </c>
      <c r="F39" s="81">
        <v>0.128855520396391</v>
      </c>
      <c r="G39" s="81">
        <v>0.246266989842157</v>
      </c>
    </row>
    <row r="40" spans="1:7">
      <c r="A40" s="78" t="s">
        <v>206</v>
      </c>
      <c r="B40" s="178">
        <v>24.2242711736801</v>
      </c>
      <c r="C40" s="79">
        <f t="shared" si="0"/>
        <v>23.4172218205039</v>
      </c>
      <c r="D40" s="80">
        <v>0.53760857732552</v>
      </c>
      <c r="E40" s="80">
        <v>0.122565146395312</v>
      </c>
      <c r="F40" s="81">
        <v>0.137888897512773</v>
      </c>
      <c r="G40" s="81">
        <v>0.251388717778579</v>
      </c>
    </row>
    <row r="41" spans="1:7">
      <c r="A41" s="78" t="s">
        <v>207</v>
      </c>
      <c r="B41" s="178">
        <v>25.5130857086938</v>
      </c>
      <c r="C41" s="79">
        <f t="shared" si="0"/>
        <v>24.2242711736801</v>
      </c>
      <c r="D41" s="80">
        <v>0.560966660828743</v>
      </c>
      <c r="E41" s="80">
        <v>0.136579996497246</v>
      </c>
      <c r="F41" s="81">
        <v>0.151129655707652</v>
      </c>
      <c r="G41" s="81">
        <v>0.258895939083791</v>
      </c>
    </row>
    <row r="42" spans="1:7">
      <c r="A42" s="78" t="s">
        <v>208</v>
      </c>
      <c r="B42" s="178">
        <v>26.5848325777533</v>
      </c>
      <c r="C42" s="79">
        <f t="shared" si="0"/>
        <v>25.5130857086938</v>
      </c>
      <c r="D42" s="80">
        <v>0.578665948770217</v>
      </c>
      <c r="E42" s="80">
        <v>0.147199569262131</v>
      </c>
      <c r="F42" s="81">
        <v>0.161162670266498</v>
      </c>
      <c r="G42" s="81">
        <v>0.264584439662315</v>
      </c>
    </row>
    <row r="43" spans="1:7">
      <c r="A43" s="78" t="s">
        <v>209</v>
      </c>
      <c r="B43" s="178">
        <v>27.5451887349923</v>
      </c>
      <c r="C43" s="79">
        <f t="shared" si="0"/>
        <v>26.5848325777533</v>
      </c>
      <c r="D43" s="80">
        <v>0.593355655718529</v>
      </c>
      <c r="E43" s="80">
        <v>0.156013393431117</v>
      </c>
      <c r="F43" s="81">
        <v>0.169489674390333</v>
      </c>
      <c r="G43" s="81">
        <v>0.26930566950784</v>
      </c>
    </row>
    <row r="44" spans="1:7">
      <c r="A44" s="78" t="s">
        <v>210</v>
      </c>
      <c r="B44" s="178">
        <v>29.05550070955</v>
      </c>
      <c r="C44" s="79">
        <f t="shared" si="0"/>
        <v>27.5451887349923</v>
      </c>
      <c r="D44" s="80">
        <v>0.614493127369554</v>
      </c>
      <c r="E44" s="80">
        <v>0.168695876421732</v>
      </c>
      <c r="F44" s="81">
        <v>0.181471657027893</v>
      </c>
      <c r="G44" s="81">
        <v>0.276099192507918</v>
      </c>
    </row>
    <row r="45" spans="1:7">
      <c r="A45" s="78" t="s">
        <v>211</v>
      </c>
      <c r="B45" s="178">
        <v>30.3825180166331</v>
      </c>
      <c r="C45" s="79">
        <f t="shared" si="0"/>
        <v>29.05550070955</v>
      </c>
      <c r="D45" s="80">
        <v>0.631330911904069</v>
      </c>
      <c r="E45" s="80">
        <v>0.178798547142441</v>
      </c>
      <c r="F45" s="81">
        <v>0.191016319950612</v>
      </c>
      <c r="G45" s="81">
        <v>0.281510808352713</v>
      </c>
    </row>
    <row r="46" spans="1:7">
      <c r="A46" s="78" t="s">
        <v>212</v>
      </c>
      <c r="B46" s="178">
        <v>31.8779528481985</v>
      </c>
      <c r="C46" s="79">
        <f t="shared" si="0"/>
        <v>30.3825180166331</v>
      </c>
      <c r="D46" s="80">
        <v>0.64862564216123</v>
      </c>
      <c r="E46" s="80">
        <v>0.189175385296738</v>
      </c>
      <c r="F46" s="81">
        <v>0.20082000702747</v>
      </c>
      <c r="G46" s="81">
        <v>0.287069285247298</v>
      </c>
    </row>
    <row r="47" spans="1:7">
      <c r="A47" s="78" t="s">
        <v>213</v>
      </c>
      <c r="B47" s="178">
        <v>33.5485214651806</v>
      </c>
      <c r="C47" s="79">
        <f t="shared" si="0"/>
        <v>31.8779528481985</v>
      </c>
      <c r="D47" s="80">
        <v>0.666122537683942</v>
      </c>
      <c r="E47" s="80">
        <v>0.199673522610365</v>
      </c>
      <c r="F47" s="81">
        <v>0.210738293463311</v>
      </c>
      <c r="G47" s="81">
        <v>0.292692737480656</v>
      </c>
    </row>
    <row r="48" spans="1:7">
      <c r="A48" s="78" t="s">
        <v>214</v>
      </c>
      <c r="B48" s="178">
        <v>35.300988913309</v>
      </c>
      <c r="C48" s="79">
        <f t="shared" si="0"/>
        <v>33.5485214651806</v>
      </c>
      <c r="D48" s="80">
        <v>0.682697410014275</v>
      </c>
      <c r="E48" s="80">
        <v>0.209618446008565</v>
      </c>
      <c r="F48" s="81">
        <v>0.220133922030468</v>
      </c>
      <c r="G48" s="81">
        <v>0.298019854094151</v>
      </c>
    </row>
    <row r="49" spans="1:7">
      <c r="A49" s="78" t="s">
        <v>215</v>
      </c>
      <c r="B49" s="178">
        <v>37.5669611508655</v>
      </c>
      <c r="C49" s="79">
        <f t="shared" si="0"/>
        <v>35.300988913309</v>
      </c>
      <c r="D49" s="80">
        <v>0.701836537529141</v>
      </c>
      <c r="E49" s="80">
        <v>0.221101922517484</v>
      </c>
      <c r="F49" s="81">
        <v>0.230983123740459</v>
      </c>
      <c r="G49" s="81">
        <v>0.304171114998024</v>
      </c>
    </row>
    <row r="50" spans="1:7">
      <c r="A50" s="78" t="s">
        <v>216</v>
      </c>
      <c r="B50" s="178">
        <v>39.8056119642227</v>
      </c>
      <c r="C50" s="79">
        <f t="shared" si="0"/>
        <v>37.5669611508655</v>
      </c>
      <c r="D50" s="80">
        <v>0.718605124792005</v>
      </c>
      <c r="E50" s="80">
        <v>0.231163074875203</v>
      </c>
      <c r="F50" s="81">
        <v>0.24048856151264</v>
      </c>
      <c r="G50" s="81">
        <v>0.309560491037402</v>
      </c>
    </row>
    <row r="51" spans="1:7">
      <c r="A51" s="78" t="s">
        <v>217</v>
      </c>
      <c r="B51" s="178">
        <v>43.7178044136458</v>
      </c>
      <c r="C51" s="79">
        <f t="shared" si="0"/>
        <v>39.8056119642227</v>
      </c>
      <c r="D51" s="80">
        <v>0.743786419252242</v>
      </c>
      <c r="E51" s="80">
        <v>0.246271851551345</v>
      </c>
      <c r="F51" s="81">
        <v>0.254762824678795</v>
      </c>
      <c r="G51" s="81">
        <v>0.317653687135388</v>
      </c>
    </row>
    <row r="52" spans="1:7">
      <c r="A52" s="78" t="s">
        <v>218</v>
      </c>
      <c r="B52" s="178">
        <v>50.3136598666736</v>
      </c>
      <c r="C52" s="79">
        <f t="shared" si="0"/>
        <v>43.7178044136458</v>
      </c>
      <c r="D52" s="80">
        <v>0.777374668411478</v>
      </c>
      <c r="E52" s="80">
        <v>0.266424801046887</v>
      </c>
      <c r="F52" s="81">
        <v>0.273802652378931</v>
      </c>
      <c r="G52" s="81">
        <v>0.328448854455437</v>
      </c>
    </row>
    <row r="53" spans="1:7">
      <c r="A53" s="78" t="s">
        <v>219</v>
      </c>
      <c r="B53" s="178">
        <v>63.4231849960258</v>
      </c>
      <c r="C53" s="79">
        <f t="shared" si="0"/>
        <v>50.3136598666736</v>
      </c>
      <c r="D53" s="80">
        <v>0.823391158738682</v>
      </c>
      <c r="E53" s="80">
        <v>0.294034695243209</v>
      </c>
      <c r="F53" s="81">
        <v>0.299887550196656</v>
      </c>
      <c r="G53" s="81">
        <v>0.343238422980089</v>
      </c>
    </row>
    <row r="54" spans="1:7">
      <c r="A54" s="78" t="s">
        <v>220</v>
      </c>
      <c r="B54" s="178">
        <v>100.125634630935</v>
      </c>
      <c r="C54" s="79">
        <f t="shared" si="0"/>
        <v>63.4231849960258</v>
      </c>
      <c r="D54" s="80">
        <v>0.888129595856867</v>
      </c>
      <c r="E54" s="80">
        <v>0.33287775751412</v>
      </c>
      <c r="F54" s="81">
        <v>0.336585166748885</v>
      </c>
      <c r="G54" s="81">
        <v>0.364045171715818</v>
      </c>
    </row>
    <row r="55" spans="1:7">
      <c r="A55" s="78" t="s">
        <v>221</v>
      </c>
      <c r="B55" s="178">
        <v>225.008759720042</v>
      </c>
      <c r="C55" s="79">
        <f t="shared" si="0"/>
        <v>100.125634630935</v>
      </c>
      <c r="D55" s="80">
        <v>0.950219292683597</v>
      </c>
      <c r="E55" s="80">
        <v>0.370131575610158</v>
      </c>
      <c r="F55" s="81">
        <v>0.371781318948725</v>
      </c>
      <c r="G55" s="81">
        <v>0.384000622889175</v>
      </c>
    </row>
    <row r="56" spans="1:7">
      <c r="A56" s="78" t="s">
        <v>221</v>
      </c>
      <c r="B56" s="82" t="s">
        <v>350</v>
      </c>
      <c r="C56" s="79">
        <f t="shared" si="0"/>
        <v>225.008759720042</v>
      </c>
      <c r="D56" s="83">
        <v>49.1</v>
      </c>
      <c r="E56" s="83"/>
      <c r="F56" s="84"/>
      <c r="G56" s="84"/>
    </row>
    <row r="57" spans="1:7">
      <c r="A57" s="78"/>
      <c r="B57" s="82"/>
      <c r="C57" s="82"/>
      <c r="D57" s="83"/>
      <c r="E57" s="85">
        <v>0.0845143860102695</v>
      </c>
      <c r="F57" s="86">
        <v>0.0912942026163017</v>
      </c>
      <c r="G57" s="86">
        <v>0.16908712083877</v>
      </c>
    </row>
    <row r="58" ht="48" spans="1:7">
      <c r="A58" s="87" t="s">
        <v>233</v>
      </c>
      <c r="B58" s="82">
        <v>10</v>
      </c>
      <c r="C58" s="82"/>
      <c r="D58" s="83"/>
      <c r="E58" s="127">
        <v>18.6684920187505</v>
      </c>
      <c r="F58" s="128">
        <v>17.6373622896745</v>
      </c>
      <c r="G58" s="129">
        <v>10</v>
      </c>
    </row>
    <row r="59" ht="48" spans="1:7">
      <c r="A59" s="87" t="s">
        <v>224</v>
      </c>
      <c r="B59" s="82">
        <v>26.7</v>
      </c>
      <c r="C59" s="82"/>
      <c r="D59" s="83"/>
      <c r="E59" s="83"/>
      <c r="F59" s="84"/>
      <c r="G59" s="84"/>
    </row>
    <row r="60" ht="84" spans="1:7">
      <c r="A60" s="106" t="s">
        <v>225</v>
      </c>
      <c r="B60" s="78">
        <v>6</v>
      </c>
      <c r="C60" s="78"/>
      <c r="D60" s="83"/>
      <c r="E60" s="83">
        <v>11.2010952112503</v>
      </c>
      <c r="F60" s="84">
        <v>10.5824173738047</v>
      </c>
      <c r="G60" s="84">
        <v>6</v>
      </c>
    </row>
    <row r="62" ht="48.75" spans="1:2">
      <c r="A62" s="256" t="s">
        <v>224</v>
      </c>
      <c r="B62">
        <f>B59</f>
        <v>26.7</v>
      </c>
    </row>
    <row r="63" spans="1:3">
      <c r="A63" s="531" t="s">
        <v>226</v>
      </c>
      <c r="B63" s="95">
        <f>AVERAGE(B11:B50)</f>
        <v>18.6684920187505</v>
      </c>
      <c r="C63" s="95"/>
    </row>
    <row r="64" spans="1:3">
      <c r="A64" s="531" t="s">
        <v>227</v>
      </c>
      <c r="B64" s="96">
        <f>AVERAGE(B16:B45)</f>
        <v>17.6373622896745</v>
      </c>
      <c r="C64" s="96"/>
    </row>
    <row r="65" spans="1:3">
      <c r="A65" s="531" t="s">
        <v>228</v>
      </c>
      <c r="B65" s="96">
        <f>AVERAGE(B22:B40)</f>
        <v>17.3095575709394</v>
      </c>
      <c r="C65" s="96"/>
    </row>
    <row r="69" customHeight="1" spans="1:7">
      <c r="A69" s="83" t="s">
        <v>165</v>
      </c>
      <c r="B69" s="83" t="s">
        <v>229</v>
      </c>
      <c r="C69" s="83"/>
      <c r="D69" s="83"/>
      <c r="E69" s="98">
        <f>(1-E124)^(1/3)-1</f>
        <v>-0.0245442382515469</v>
      </c>
      <c r="F69" s="98">
        <f>(1-F124)^(1/3)-1</f>
        <v>-0.0257557548117792</v>
      </c>
      <c r="G69" s="98"/>
    </row>
    <row r="70" ht="72" spans="1:7">
      <c r="A70" s="83"/>
      <c r="B70" s="83" t="s">
        <v>167</v>
      </c>
      <c r="C70" s="83"/>
      <c r="D70" s="83" t="s">
        <v>168</v>
      </c>
      <c r="E70" s="83" t="s">
        <v>169</v>
      </c>
      <c r="F70" s="84" t="s">
        <v>169</v>
      </c>
      <c r="G70" s="84"/>
    </row>
    <row r="71" ht="24" spans="1:7">
      <c r="A71" s="83"/>
      <c r="B71" s="83" t="s">
        <v>230</v>
      </c>
      <c r="C71" s="83"/>
      <c r="D71" s="83" t="s">
        <v>171</v>
      </c>
      <c r="E71" s="83" t="s">
        <v>171</v>
      </c>
      <c r="F71" s="84" t="s">
        <v>171</v>
      </c>
      <c r="G71" s="84"/>
    </row>
    <row r="72" spans="1:7">
      <c r="A72" s="75">
        <v>1</v>
      </c>
      <c r="B72" s="76">
        <v>2</v>
      </c>
      <c r="C72" s="76"/>
      <c r="D72" s="76">
        <v>3</v>
      </c>
      <c r="E72" s="76">
        <v>4</v>
      </c>
      <c r="F72" s="77">
        <v>5</v>
      </c>
      <c r="G72" s="77"/>
    </row>
    <row r="73" spans="1:7">
      <c r="A73" s="530" t="s">
        <v>172</v>
      </c>
      <c r="B73" s="101">
        <v>11.8688432326218</v>
      </c>
      <c r="C73" s="102">
        <v>0</v>
      </c>
      <c r="D73" s="80">
        <v>0</v>
      </c>
      <c r="E73" s="80">
        <v>0</v>
      </c>
      <c r="F73" s="81">
        <v>0</v>
      </c>
      <c r="G73" s="81">
        <v>0</v>
      </c>
    </row>
    <row r="74" spans="1:7">
      <c r="A74" s="530" t="s">
        <v>173</v>
      </c>
      <c r="B74" s="101">
        <v>20.4099426431472</v>
      </c>
      <c r="C74" s="79">
        <f>B73</f>
        <v>11.8688432326218</v>
      </c>
      <c r="D74" s="80">
        <v>0</v>
      </c>
      <c r="E74" s="80">
        <v>0</v>
      </c>
      <c r="F74" s="81">
        <v>0</v>
      </c>
      <c r="G74" s="81">
        <v>0.0191570486576552</v>
      </c>
    </row>
    <row r="75" spans="1:7">
      <c r="A75" s="530" t="s">
        <v>174</v>
      </c>
      <c r="B75" s="101">
        <v>23.7907429334607</v>
      </c>
      <c r="C75" s="79">
        <f t="shared" ref="C75:C123" si="1">B74</f>
        <v>20.4099426431472</v>
      </c>
      <c r="D75" s="80">
        <v>0</v>
      </c>
      <c r="E75" s="80">
        <v>0</v>
      </c>
      <c r="F75" s="81">
        <v>0</v>
      </c>
      <c r="G75" s="81">
        <v>0.0306452932296055</v>
      </c>
    </row>
    <row r="76" spans="1:7">
      <c r="A76" s="530" t="s">
        <v>175</v>
      </c>
      <c r="B76" s="101">
        <v>26.2166182078687</v>
      </c>
      <c r="C76" s="79">
        <f t="shared" si="1"/>
        <v>23.7907429334607</v>
      </c>
      <c r="D76" s="80">
        <v>0</v>
      </c>
      <c r="E76" s="80">
        <v>0</v>
      </c>
      <c r="F76" s="81">
        <v>0</v>
      </c>
      <c r="G76" s="81">
        <v>0.0370628207300678</v>
      </c>
    </row>
    <row r="77" spans="1:7">
      <c r="A77" s="530" t="s">
        <v>176</v>
      </c>
      <c r="B77" s="101">
        <v>28.2273266348981</v>
      </c>
      <c r="C77" s="79">
        <f t="shared" si="1"/>
        <v>26.2166182078687</v>
      </c>
      <c r="D77" s="80">
        <v>0</v>
      </c>
      <c r="E77" s="80">
        <v>0</v>
      </c>
      <c r="F77" s="81">
        <v>0</v>
      </c>
      <c r="G77" s="81">
        <v>0.0492760321212848</v>
      </c>
    </row>
    <row r="78" spans="1:7">
      <c r="A78" s="530" t="s">
        <v>177</v>
      </c>
      <c r="B78" s="101">
        <v>29.2853463570957</v>
      </c>
      <c r="C78" s="79">
        <f t="shared" si="1"/>
        <v>28.2273266348981</v>
      </c>
      <c r="D78" s="80">
        <v>0</v>
      </c>
      <c r="E78" s="80">
        <v>0</v>
      </c>
      <c r="F78" s="81">
        <v>0</v>
      </c>
      <c r="G78" s="81">
        <v>0.0619469724112974</v>
      </c>
    </row>
    <row r="79" spans="1:7">
      <c r="A79" s="530" t="s">
        <v>178</v>
      </c>
      <c r="B79" s="101">
        <v>30.7793992350791</v>
      </c>
      <c r="C79" s="79">
        <f t="shared" si="1"/>
        <v>29.2853463570957</v>
      </c>
      <c r="D79" s="80">
        <v>0</v>
      </c>
      <c r="E79" s="80"/>
      <c r="F79" s="81"/>
      <c r="G79" s="81"/>
    </row>
    <row r="80" spans="1:7">
      <c r="A80" s="78" t="s">
        <v>179</v>
      </c>
      <c r="B80" s="101">
        <v>32.5342062428642</v>
      </c>
      <c r="C80" s="79">
        <f t="shared" si="1"/>
        <v>30.7793992350791</v>
      </c>
      <c r="D80" s="80">
        <v>0.0275232060608076</v>
      </c>
      <c r="E80" s="80"/>
      <c r="F80" s="81"/>
      <c r="G80" s="81"/>
    </row>
    <row r="81" spans="1:7">
      <c r="A81" s="78" t="s">
        <v>180</v>
      </c>
      <c r="B81" s="101">
        <v>33.5514946718042</v>
      </c>
      <c r="C81" s="79">
        <f t="shared" si="1"/>
        <v>32.5342062428642</v>
      </c>
      <c r="D81" s="80">
        <v>0.0570089085478089</v>
      </c>
      <c r="E81" s="80"/>
      <c r="F81" s="81"/>
      <c r="G81" s="81"/>
    </row>
    <row r="82" spans="1:7">
      <c r="A82" s="78" t="s">
        <v>181</v>
      </c>
      <c r="B82" s="101">
        <v>34.9346747017979</v>
      </c>
      <c r="C82" s="79">
        <f t="shared" si="1"/>
        <v>33.5514946718042</v>
      </c>
      <c r="D82" s="80">
        <v>0.0943450640234894</v>
      </c>
      <c r="E82" s="80"/>
      <c r="F82" s="81"/>
      <c r="G82" s="81"/>
    </row>
    <row r="83" spans="1:7">
      <c r="A83" s="78" t="s">
        <v>182</v>
      </c>
      <c r="B83" s="101">
        <v>36.6473952518697</v>
      </c>
      <c r="C83" s="79">
        <f t="shared" si="1"/>
        <v>34.9346747017979</v>
      </c>
      <c r="D83" s="80">
        <v>0.136670959478275</v>
      </c>
      <c r="E83" s="80">
        <v>0.0136670959478275</v>
      </c>
      <c r="F83" s="81">
        <v>0.0155779146820095</v>
      </c>
      <c r="G83" s="81">
        <v>0.129858017685584</v>
      </c>
    </row>
    <row r="84" spans="1:7">
      <c r="A84" s="78" t="s">
        <v>183</v>
      </c>
      <c r="B84" s="101">
        <v>38.1827497110505</v>
      </c>
      <c r="C84" s="79">
        <f t="shared" si="1"/>
        <v>36.6473952518697</v>
      </c>
      <c r="D84" s="80">
        <v>0.171386010178821</v>
      </c>
      <c r="E84" s="80">
        <v>0.0171386010178821</v>
      </c>
      <c r="F84" s="81">
        <v>0.0189725844249487</v>
      </c>
      <c r="G84" s="81">
        <v>0.140720611403876</v>
      </c>
    </row>
    <row r="85" spans="1:7">
      <c r="A85" s="78" t="s">
        <v>184</v>
      </c>
      <c r="B85" s="101">
        <v>39.4606578016512</v>
      </c>
      <c r="C85" s="79">
        <f t="shared" si="1"/>
        <v>38.1827497110505</v>
      </c>
      <c r="D85" s="80">
        <v>0.198220142719133</v>
      </c>
      <c r="E85" s="80">
        <v>0.0198220142719133</v>
      </c>
      <c r="F85" s="81">
        <v>0.0215966053027631</v>
      </c>
      <c r="G85" s="81">
        <v>0.149117208087045</v>
      </c>
    </row>
    <row r="86" spans="1:7">
      <c r="A86" s="78" t="s">
        <v>185</v>
      </c>
      <c r="B86" s="101">
        <v>40.5238582004103</v>
      </c>
      <c r="C86" s="79">
        <f t="shared" si="1"/>
        <v>39.4606578016512</v>
      </c>
      <c r="D86" s="80">
        <v>0.21925596462341</v>
      </c>
      <c r="E86" s="80">
        <v>0.021925596462341</v>
      </c>
      <c r="F86" s="81">
        <v>0.0236536286023196</v>
      </c>
      <c r="G86" s="81">
        <v>0.155699470888491</v>
      </c>
    </row>
    <row r="87" spans="1:7">
      <c r="A87" s="78" t="s">
        <v>186</v>
      </c>
      <c r="B87" s="101">
        <v>41.4320005898001</v>
      </c>
      <c r="C87" s="79">
        <f t="shared" si="1"/>
        <v>40.5238582004103</v>
      </c>
      <c r="D87" s="80">
        <v>0.236368987014206</v>
      </c>
      <c r="E87" s="80">
        <v>0.0236368987014206</v>
      </c>
      <c r="F87" s="81">
        <v>0.0253270543398013</v>
      </c>
      <c r="G87" s="81">
        <v>0.161054260980165</v>
      </c>
    </row>
    <row r="88" spans="1:7">
      <c r="A88" s="78" t="s">
        <v>187</v>
      </c>
      <c r="B88" s="101">
        <v>42.2084718566532</v>
      </c>
      <c r="C88" s="79">
        <f t="shared" si="1"/>
        <v>41.4320005898001</v>
      </c>
      <c r="D88" s="80">
        <v>0.250416819451143</v>
      </c>
      <c r="E88" s="80">
        <v>0.0250416819451143</v>
      </c>
      <c r="F88" s="81">
        <v>0.0267007453114467</v>
      </c>
      <c r="G88" s="81">
        <v>0.165449930676903</v>
      </c>
    </row>
    <row r="89" spans="1:7">
      <c r="A89" s="78" t="s">
        <v>188</v>
      </c>
      <c r="B89" s="101">
        <v>43.1507473719906</v>
      </c>
      <c r="C89" s="79">
        <f t="shared" si="1"/>
        <v>42.2084718566532</v>
      </c>
      <c r="D89" s="80">
        <v>0.266785339598685</v>
      </c>
      <c r="E89" s="80">
        <v>0.0266785339598685</v>
      </c>
      <c r="F89" s="81">
        <v>0.0283013686422568</v>
      </c>
      <c r="G89" s="81">
        <v>0.170571760561762</v>
      </c>
    </row>
    <row r="90" spans="1:7">
      <c r="A90" s="78" t="s">
        <v>189</v>
      </c>
      <c r="B90" s="101">
        <v>44.3894951649389</v>
      </c>
      <c r="C90" s="79">
        <f t="shared" si="1"/>
        <v>43.1507473719906</v>
      </c>
      <c r="D90" s="80">
        <v>0.287246668094416</v>
      </c>
      <c r="E90" s="80">
        <v>0.0287246668094416</v>
      </c>
      <c r="F90" s="81">
        <v>0.0303022141355836</v>
      </c>
      <c r="G90" s="81">
        <v>0.176974260166412</v>
      </c>
    </row>
    <row r="91" spans="1:7">
      <c r="A91" s="78" t="s">
        <v>190</v>
      </c>
      <c r="B91" s="101">
        <v>45.2393944884254</v>
      </c>
      <c r="C91" s="79">
        <f t="shared" si="1"/>
        <v>44.3894951649389</v>
      </c>
      <c r="D91" s="80">
        <v>0.300636957275989</v>
      </c>
      <c r="E91" s="80">
        <v>0.0300636957275989</v>
      </c>
      <c r="F91" s="81">
        <v>0.0316116061317525</v>
      </c>
      <c r="G91" s="81">
        <v>0.181164179760785</v>
      </c>
    </row>
    <row r="92" spans="1:7">
      <c r="A92" s="78" t="s">
        <v>191</v>
      </c>
      <c r="B92" s="101">
        <v>45.9391192619957</v>
      </c>
      <c r="C92" s="79">
        <f t="shared" si="1"/>
        <v>45.2393944884254</v>
      </c>
      <c r="D92" s="80">
        <v>0.311289352327854</v>
      </c>
      <c r="E92" s="80">
        <v>0.0311289352327854</v>
      </c>
      <c r="F92" s="81">
        <v>0.0326532685358876</v>
      </c>
      <c r="G92" s="81">
        <v>0.184497392221665</v>
      </c>
    </row>
    <row r="93" spans="1:7">
      <c r="A93" s="78" t="s">
        <v>192</v>
      </c>
      <c r="B93" s="101">
        <v>46.8559332719349</v>
      </c>
      <c r="C93" s="79">
        <f t="shared" si="1"/>
        <v>45.9391192619957</v>
      </c>
      <c r="D93" s="80">
        <v>0.324765117860376</v>
      </c>
      <c r="E93" s="80">
        <v>0.0324765117860376</v>
      </c>
      <c r="F93" s="81">
        <v>0.0339710189810994</v>
      </c>
      <c r="G93" s="81">
        <v>0.188714057992528</v>
      </c>
    </row>
    <row r="94" spans="1:7">
      <c r="A94" s="78" t="s">
        <v>193</v>
      </c>
      <c r="B94" s="101">
        <v>47.4413878487496</v>
      </c>
      <c r="C94" s="79">
        <f t="shared" si="1"/>
        <v>46.8559332719349</v>
      </c>
      <c r="D94" s="80">
        <v>0.333097912706807</v>
      </c>
      <c r="E94" s="80">
        <v>0.0333097912706807</v>
      </c>
      <c r="F94" s="81">
        <v>0.0347858553695957</v>
      </c>
      <c r="G94" s="81">
        <v>0.191321450553624</v>
      </c>
    </row>
    <row r="95" spans="1:7">
      <c r="A95" s="78" t="s">
        <v>194</v>
      </c>
      <c r="B95" s="101">
        <v>48.1414735599146</v>
      </c>
      <c r="C95" s="79">
        <f t="shared" si="1"/>
        <v>47.4413878487496</v>
      </c>
      <c r="D95" s="80">
        <v>0.342796174673778</v>
      </c>
      <c r="E95" s="80">
        <v>0.0342796174673778</v>
      </c>
      <c r="F95" s="81">
        <v>0.0357342162618889</v>
      </c>
      <c r="G95" s="81">
        <v>0.194356107781393</v>
      </c>
    </row>
    <row r="96" spans="1:7">
      <c r="A96" s="78" t="s">
        <v>195</v>
      </c>
      <c r="B96" s="101">
        <v>49.4338267518218</v>
      </c>
      <c r="C96" s="79">
        <f t="shared" si="1"/>
        <v>48.1414735599146</v>
      </c>
      <c r="D96" s="80">
        <v>0.359977516220691</v>
      </c>
      <c r="E96" s="80">
        <v>0.0359977516220691</v>
      </c>
      <c r="F96" s="81">
        <v>0.0374143227031995</v>
      </c>
      <c r="G96" s="81">
        <v>0.199732275437585</v>
      </c>
    </row>
    <row r="97" spans="1:7">
      <c r="A97" s="78" t="s">
        <v>196</v>
      </c>
      <c r="B97" s="101">
        <v>50.3766447571566</v>
      </c>
      <c r="C97" s="79">
        <f t="shared" si="1"/>
        <v>49.4338267518218</v>
      </c>
      <c r="D97" s="80">
        <v>0.371955779648815</v>
      </c>
      <c r="E97" s="80">
        <v>0.0371955779648815</v>
      </c>
      <c r="F97" s="81">
        <v>0.0385856373811807</v>
      </c>
      <c r="G97" s="81">
        <v>0.203480361827917</v>
      </c>
    </row>
    <row r="98" spans="1:7">
      <c r="A98" s="78" t="s">
        <v>197</v>
      </c>
      <c r="B98" s="101">
        <v>51.2539076798616</v>
      </c>
      <c r="C98" s="79">
        <f t="shared" si="1"/>
        <v>50.3766447571566</v>
      </c>
      <c r="D98" s="80">
        <v>0.382705397254064</v>
      </c>
      <c r="E98" s="80">
        <v>0.0382705397254064</v>
      </c>
      <c r="F98" s="81">
        <v>0.0396368068565613</v>
      </c>
      <c r="G98" s="81">
        <v>0.206843995938092</v>
      </c>
    </row>
    <row r="99" spans="1:7">
      <c r="A99" s="78" t="s">
        <v>198</v>
      </c>
      <c r="B99" s="101">
        <v>52.3162675410533</v>
      </c>
      <c r="C99" s="79">
        <f t="shared" si="1"/>
        <v>51.2539076798616</v>
      </c>
      <c r="D99" s="80">
        <v>0.395240485082586</v>
      </c>
      <c r="E99" s="80">
        <v>0.0395240485082586</v>
      </c>
      <c r="F99" s="81">
        <v>0.0451754292821816</v>
      </c>
      <c r="G99" s="81">
        <v>0.210766316763111</v>
      </c>
    </row>
    <row r="100" spans="1:7">
      <c r="A100" s="78" t="s">
        <v>199</v>
      </c>
      <c r="B100" s="101">
        <v>53.1194875511179</v>
      </c>
      <c r="C100" s="79">
        <f t="shared" si="1"/>
        <v>52.3162675410533</v>
      </c>
      <c r="D100" s="80">
        <v>0.404385056426411</v>
      </c>
      <c r="E100" s="80">
        <v>0.0426310338558467</v>
      </c>
      <c r="F100" s="81">
        <v>0.0505407332111564</v>
      </c>
      <c r="G100" s="81">
        <v>0.213627720138056</v>
      </c>
    </row>
    <row r="101" spans="1:7">
      <c r="A101" s="78" t="s">
        <v>200</v>
      </c>
      <c r="B101" s="101">
        <v>53.7603239617917</v>
      </c>
      <c r="C101" s="79">
        <f t="shared" si="1"/>
        <v>53.1194875511179</v>
      </c>
      <c r="D101" s="80">
        <v>0.411484934448996</v>
      </c>
      <c r="E101" s="80">
        <v>0.0468909606693979</v>
      </c>
      <c r="F101" s="81">
        <v>0.0547063744443607</v>
      </c>
      <c r="G101" s="81">
        <v>0.215849323991498</v>
      </c>
    </row>
    <row r="102" spans="1:7">
      <c r="A102" s="78" t="s">
        <v>201</v>
      </c>
      <c r="B102" s="101">
        <v>54.4775161536427</v>
      </c>
      <c r="C102" s="79">
        <f t="shared" si="1"/>
        <v>53.7603239617917</v>
      </c>
      <c r="D102" s="80">
        <v>0.419232688744722</v>
      </c>
      <c r="E102" s="80">
        <v>0.0515396132468332</v>
      </c>
      <c r="F102" s="81">
        <v>0.0592521377175246</v>
      </c>
      <c r="G102" s="81">
        <v>0.218273653077738</v>
      </c>
    </row>
    <row r="103" spans="1:7">
      <c r="A103" s="78" t="s">
        <v>202</v>
      </c>
      <c r="B103" s="101">
        <v>55.8722044797982</v>
      </c>
      <c r="C103" s="79">
        <f t="shared" si="1"/>
        <v>54.4775161536427</v>
      </c>
      <c r="D103" s="80">
        <v>0.433729868456207</v>
      </c>
      <c r="E103" s="80">
        <v>0.0602379210737242</v>
      </c>
      <c r="F103" s="81">
        <v>0.0677579246309379</v>
      </c>
      <c r="G103" s="81">
        <v>0.222809926829009</v>
      </c>
    </row>
    <row r="104" spans="1:7">
      <c r="A104" s="78" t="s">
        <v>203</v>
      </c>
      <c r="B104" s="101">
        <v>57.1129022404341</v>
      </c>
      <c r="C104" s="79">
        <f t="shared" si="1"/>
        <v>55.8722044797982</v>
      </c>
      <c r="D104" s="80">
        <v>0.446031293468085</v>
      </c>
      <c r="E104" s="80">
        <v>0.0676187760808507</v>
      </c>
      <c r="F104" s="81">
        <v>0.0749754180996482</v>
      </c>
      <c r="G104" s="81">
        <v>0.226659132846674</v>
      </c>
    </row>
    <row r="105" spans="1:7">
      <c r="A105" s="78" t="s">
        <v>204</v>
      </c>
      <c r="B105" s="101">
        <v>57.9722624482196</v>
      </c>
      <c r="C105" s="79">
        <f t="shared" si="1"/>
        <v>57.1129022404341</v>
      </c>
      <c r="D105" s="80">
        <v>0.454243128622476</v>
      </c>
      <c r="E105" s="80">
        <v>0.0725458771734857</v>
      </c>
      <c r="F105" s="81">
        <v>0.0797934669464869</v>
      </c>
      <c r="G105" s="81">
        <v>0.22922867623387</v>
      </c>
    </row>
    <row r="106" spans="1:7">
      <c r="A106" s="78" t="s">
        <v>205</v>
      </c>
      <c r="B106" s="101">
        <v>59.6416006185241</v>
      </c>
      <c r="C106" s="79">
        <f t="shared" si="1"/>
        <v>57.9722624482196</v>
      </c>
      <c r="D106" s="80">
        <v>0.469518586820248</v>
      </c>
      <c r="E106" s="80">
        <v>0.0817111520921488</v>
      </c>
      <c r="F106" s="81">
        <v>0.0887558855010465</v>
      </c>
      <c r="G106" s="81">
        <v>0.234008479025877</v>
      </c>
    </row>
    <row r="107" spans="1:7">
      <c r="A107" s="78" t="s">
        <v>206</v>
      </c>
      <c r="B107" s="101">
        <v>61.2932328041918</v>
      </c>
      <c r="C107" s="79">
        <f t="shared" si="1"/>
        <v>59.6416006185241</v>
      </c>
      <c r="D107" s="80">
        <v>0.483813153052464</v>
      </c>
      <c r="E107" s="80">
        <v>0.0902878918314785</v>
      </c>
      <c r="F107" s="81">
        <v>0.0971427950110791</v>
      </c>
      <c r="G107" s="81">
        <v>0.238481353534954</v>
      </c>
    </row>
    <row r="108" spans="1:7">
      <c r="A108" s="78" t="s">
        <v>207</v>
      </c>
      <c r="B108" s="101">
        <v>62.6824994429209</v>
      </c>
      <c r="C108" s="79">
        <f t="shared" si="1"/>
        <v>61.2932328041918</v>
      </c>
      <c r="D108" s="80">
        <v>0.495253685452867</v>
      </c>
      <c r="E108" s="80">
        <v>0.0971522112717202</v>
      </c>
      <c r="F108" s="81">
        <v>0.103855185469806</v>
      </c>
      <c r="G108" s="81">
        <v>0.242061179946805</v>
      </c>
    </row>
    <row r="109" spans="1:7">
      <c r="A109" s="78" t="s">
        <v>208</v>
      </c>
      <c r="B109" s="101">
        <v>64.0423319246626</v>
      </c>
      <c r="C109" s="79">
        <f t="shared" si="1"/>
        <v>62.6824994429209</v>
      </c>
      <c r="D109" s="80">
        <v>0.505971134567119</v>
      </c>
      <c r="E109" s="80">
        <v>0.103582680740271</v>
      </c>
      <c r="F109" s="81">
        <v>0.110143328421429</v>
      </c>
      <c r="G109" s="81">
        <v>0.245414748300451</v>
      </c>
    </row>
    <row r="110" spans="1:7">
      <c r="A110" s="78" t="s">
        <v>209</v>
      </c>
      <c r="B110" s="101">
        <v>65.4838901351924</v>
      </c>
      <c r="C110" s="79">
        <f t="shared" si="1"/>
        <v>64.0423319246626</v>
      </c>
      <c r="D110" s="80">
        <v>0.516846654725332</v>
      </c>
      <c r="E110" s="80">
        <v>0.110107992835199</v>
      </c>
      <c r="F110" s="81">
        <v>0.116524214833771</v>
      </c>
      <c r="G110" s="81">
        <v>0.248817778241926</v>
      </c>
    </row>
    <row r="111" spans="1:7">
      <c r="A111" s="78" t="s">
        <v>210</v>
      </c>
      <c r="B111" s="101">
        <v>68.0101711897795</v>
      </c>
      <c r="C111" s="79">
        <f t="shared" si="1"/>
        <v>65.4838901351924</v>
      </c>
      <c r="D111" s="80">
        <v>0.534793692959095</v>
      </c>
      <c r="E111" s="80">
        <v>0.120876215775457</v>
      </c>
      <c r="F111" s="81">
        <v>0.127054103127998</v>
      </c>
      <c r="G111" s="81">
        <v>0.254433538001625</v>
      </c>
    </row>
    <row r="112" spans="1:7">
      <c r="A112" s="78" t="s">
        <v>211</v>
      </c>
      <c r="B112" s="101">
        <v>70.4630102581767</v>
      </c>
      <c r="C112" s="79">
        <f t="shared" si="1"/>
        <v>68.0101711897795</v>
      </c>
      <c r="D112" s="80">
        <v>0.550987667650126</v>
      </c>
      <c r="E112" s="80">
        <v>0.130592600590075</v>
      </c>
      <c r="F112" s="81">
        <v>0.136555433782952</v>
      </c>
      <c r="G112" s="81">
        <v>0.259500751334262</v>
      </c>
    </row>
    <row r="113" spans="1:7">
      <c r="A113" s="78" t="s">
        <v>212</v>
      </c>
      <c r="B113" s="101">
        <v>74.8040369262565</v>
      </c>
      <c r="C113" s="79">
        <f t="shared" si="1"/>
        <v>70.4630102581767</v>
      </c>
      <c r="D113" s="80">
        <v>0.577044744101081</v>
      </c>
      <c r="E113" s="80">
        <v>0.146226846460648</v>
      </c>
      <c r="F113" s="81">
        <v>0.151843644613556</v>
      </c>
      <c r="G113" s="81">
        <v>0.26765420147365</v>
      </c>
    </row>
    <row r="114" spans="1:7">
      <c r="A114" s="78" t="s">
        <v>213</v>
      </c>
      <c r="B114" s="101">
        <v>77.4717413431272</v>
      </c>
      <c r="C114" s="79">
        <f t="shared" si="1"/>
        <v>74.8040369262565</v>
      </c>
      <c r="D114" s="80">
        <v>0.591609017276545</v>
      </c>
      <c r="E114" s="80">
        <v>0.154965410365927</v>
      </c>
      <c r="F114" s="81">
        <v>0.160388796611714</v>
      </c>
      <c r="G114" s="81">
        <v>0.272211469261388</v>
      </c>
    </row>
    <row r="115" spans="1:7">
      <c r="A115" s="78" t="s">
        <v>214</v>
      </c>
      <c r="B115" s="101">
        <v>80.4664225810908</v>
      </c>
      <c r="C115" s="79">
        <f t="shared" si="1"/>
        <v>77.4717413431272</v>
      </c>
      <c r="D115" s="80">
        <v>0.606807913592371</v>
      </c>
      <c r="E115" s="80">
        <v>0.164084748155423</v>
      </c>
      <c r="F115" s="81">
        <v>0.169306294770273</v>
      </c>
      <c r="G115" s="81">
        <v>0.276967315279573</v>
      </c>
    </row>
    <row r="116" spans="1:7">
      <c r="A116" s="78" t="s">
        <v>215</v>
      </c>
      <c r="B116" s="101">
        <v>82.4143337721902</v>
      </c>
      <c r="C116" s="79">
        <f t="shared" si="1"/>
        <v>80.4664225810908</v>
      </c>
      <c r="D116" s="80">
        <v>0.61610123952621</v>
      </c>
      <c r="E116" s="80">
        <v>0.169660743715726</v>
      </c>
      <c r="F116" s="81">
        <v>0.174758876009058</v>
      </c>
      <c r="G116" s="81">
        <v>0.279875265055644</v>
      </c>
    </row>
    <row r="117" spans="1:7">
      <c r="A117" s="78" t="s">
        <v>216</v>
      </c>
      <c r="B117" s="101">
        <v>86.0842852121</v>
      </c>
      <c r="C117" s="79">
        <f t="shared" si="1"/>
        <v>82.4143337721902</v>
      </c>
      <c r="D117" s="80">
        <v>0.63246763909971</v>
      </c>
      <c r="E117" s="80">
        <v>0.179480583459826</v>
      </c>
      <c r="F117" s="81">
        <v>0.184361371810478</v>
      </c>
      <c r="G117" s="81">
        <v>0.284996431397348</v>
      </c>
    </row>
    <row r="118" spans="1:7">
      <c r="A118" s="78" t="s">
        <v>217</v>
      </c>
      <c r="B118" s="101">
        <v>91.4123164865426</v>
      </c>
      <c r="C118" s="79">
        <f t="shared" si="1"/>
        <v>86.0842852121</v>
      </c>
      <c r="D118" s="80">
        <v>0.653889521713687</v>
      </c>
      <c r="E118" s="80">
        <v>0.192333713028212</v>
      </c>
      <c r="F118" s="81">
        <v>0.196930021190902</v>
      </c>
      <c r="G118" s="81">
        <v>0.291699495423492</v>
      </c>
    </row>
    <row r="119" spans="1:7">
      <c r="A119" s="78" t="s">
        <v>218</v>
      </c>
      <c r="B119" s="101">
        <v>99.6386579148038</v>
      </c>
      <c r="C119" s="79">
        <f t="shared" si="1"/>
        <v>91.4123164865426</v>
      </c>
      <c r="D119" s="80">
        <v>0.682465006629557</v>
      </c>
      <c r="E119" s="80">
        <v>0.209479003977734</v>
      </c>
      <c r="F119" s="81">
        <v>0.213695832919737</v>
      </c>
      <c r="G119" s="81">
        <v>0.300640974023707</v>
      </c>
    </row>
    <row r="120" spans="1:7">
      <c r="A120" s="78" t="s">
        <v>219</v>
      </c>
      <c r="B120" s="101">
        <v>117.641593807657</v>
      </c>
      <c r="C120" s="79">
        <f t="shared" si="1"/>
        <v>99.6386579148038</v>
      </c>
      <c r="D120" s="80">
        <v>0.731058042003867</v>
      </c>
      <c r="E120" s="80">
        <v>0.23863482520232</v>
      </c>
      <c r="F120" s="81">
        <v>0.242206344108502</v>
      </c>
      <c r="G120" s="81">
        <v>0.315846090829181</v>
      </c>
    </row>
    <row r="121" spans="1:7">
      <c r="A121" s="78" t="s">
        <v>220</v>
      </c>
      <c r="B121" s="101">
        <v>137.530432442744</v>
      </c>
      <c r="C121" s="79">
        <f t="shared" si="1"/>
        <v>117.641593807657</v>
      </c>
      <c r="D121" s="80">
        <v>0.769950839109091</v>
      </c>
      <c r="E121" s="80">
        <v>0.261970503465455</v>
      </c>
      <c r="F121" s="81">
        <v>0.265025530407309</v>
      </c>
      <c r="G121" s="81">
        <v>0.328015932007474</v>
      </c>
    </row>
    <row r="122" spans="1:7">
      <c r="A122" s="78" t="s">
        <v>221</v>
      </c>
      <c r="B122" s="101">
        <v>176.804722079712</v>
      </c>
      <c r="C122" s="79">
        <f t="shared" si="1"/>
        <v>137.530432442744</v>
      </c>
      <c r="D122" s="80">
        <v>0.821052513709715</v>
      </c>
      <c r="E122" s="80">
        <v>0.292631508225829</v>
      </c>
      <c r="F122" s="81">
        <v>0.295007910685532</v>
      </c>
      <c r="G122" s="81">
        <v>0.344006020407438</v>
      </c>
    </row>
    <row r="123" spans="1:7">
      <c r="A123" s="78" t="s">
        <v>221</v>
      </c>
      <c r="B123" s="78" t="s">
        <v>351</v>
      </c>
      <c r="C123" s="79">
        <f t="shared" si="1"/>
        <v>176.804722079712</v>
      </c>
      <c r="D123" s="83" t="s">
        <v>232</v>
      </c>
      <c r="E123" s="83"/>
      <c r="F123" s="84"/>
      <c r="G123" s="84"/>
    </row>
    <row r="124" spans="1:7">
      <c r="A124" s="78"/>
      <c r="B124" s="78"/>
      <c r="C124" s="78"/>
      <c r="D124" s="83"/>
      <c r="E124" s="85">
        <v>0.0718402417915541</v>
      </c>
      <c r="F124" s="86">
        <v>0.0752942730268972</v>
      </c>
      <c r="G124" s="86">
        <v>0.192301911537292</v>
      </c>
    </row>
    <row r="125" ht="48" spans="1:7">
      <c r="A125" s="87" t="s">
        <v>233</v>
      </c>
      <c r="B125" s="78">
        <v>27.5</v>
      </c>
      <c r="C125" s="78"/>
      <c r="D125" s="83"/>
      <c r="E125" s="127">
        <v>52.7312676340284</v>
      </c>
      <c r="F125" s="128">
        <v>51.564158810591</v>
      </c>
      <c r="G125" s="129">
        <v>27.5</v>
      </c>
    </row>
    <row r="126" ht="48" spans="1:7">
      <c r="A126" s="87" t="s">
        <v>224</v>
      </c>
      <c r="B126" s="78">
        <v>56.3</v>
      </c>
      <c r="C126" s="78"/>
      <c r="D126" s="83"/>
      <c r="E126" s="83"/>
      <c r="F126" s="84"/>
      <c r="G126" s="84"/>
    </row>
    <row r="127" ht="84" spans="1:7">
      <c r="A127" s="106" t="s">
        <v>225</v>
      </c>
      <c r="B127" s="78">
        <v>16.5</v>
      </c>
      <c r="C127" s="78"/>
      <c r="D127" s="83"/>
      <c r="E127" s="83">
        <v>31.638760580417</v>
      </c>
      <c r="F127" s="84">
        <v>30.9384952863546</v>
      </c>
      <c r="G127" s="84">
        <v>16.5</v>
      </c>
    </row>
    <row r="129" ht="48.75" spans="1:2">
      <c r="A129" s="256" t="s">
        <v>224</v>
      </c>
      <c r="B129">
        <f>B126</f>
        <v>56.3</v>
      </c>
    </row>
    <row r="130" spans="1:3">
      <c r="A130" s="531" t="s">
        <v>226</v>
      </c>
      <c r="B130" s="95">
        <f>AVERAGE(B78:B117)</f>
        <v>52.7312676340284</v>
      </c>
      <c r="C130" s="95"/>
    </row>
    <row r="131" spans="1:3">
      <c r="A131" s="531" t="s">
        <v>227</v>
      </c>
      <c r="B131" s="96">
        <f>AVERAGE(B83:B112)</f>
        <v>51.564158810591</v>
      </c>
      <c r="C131" s="96"/>
    </row>
    <row r="132" spans="1:3">
      <c r="A132" s="531" t="s">
        <v>228</v>
      </c>
      <c r="B132" s="96">
        <f>AVERAGE(B89:B107)</f>
        <v>51.4625119976612</v>
      </c>
      <c r="C132" s="96"/>
    </row>
    <row r="133" ht="15.75"/>
    <row r="134" ht="15.75" spans="1:7">
      <c r="A134" s="252" t="s">
        <v>165</v>
      </c>
      <c r="B134" s="67" t="s">
        <v>347</v>
      </c>
      <c r="C134" s="68"/>
      <c r="D134" s="69"/>
      <c r="E134" s="70">
        <f>(1-E189)^(1/3)-1</f>
        <v>-0.030086510904374</v>
      </c>
      <c r="F134" s="70">
        <f>(1-F189)^(1/3)-1</f>
        <v>-0.0335700669302136</v>
      </c>
      <c r="G134" s="70"/>
    </row>
    <row r="135" ht="72.75" spans="1:7">
      <c r="A135" s="253"/>
      <c r="B135" s="72" t="s">
        <v>167</v>
      </c>
      <c r="C135" s="107"/>
      <c r="D135" s="83" t="s">
        <v>168</v>
      </c>
      <c r="E135" s="83" t="s">
        <v>169</v>
      </c>
      <c r="F135" s="84" t="s">
        <v>169</v>
      </c>
      <c r="G135" s="84"/>
    </row>
    <row r="136" ht="24.75" spans="1:7">
      <c r="A136" s="254"/>
      <c r="B136" s="72" t="s">
        <v>235</v>
      </c>
      <c r="C136" s="107"/>
      <c r="D136" s="83" t="s">
        <v>171</v>
      </c>
      <c r="E136" s="83" t="s">
        <v>171</v>
      </c>
      <c r="F136" s="84" t="s">
        <v>171</v>
      </c>
      <c r="G136" s="84"/>
    </row>
    <row r="137" spans="1:7">
      <c r="A137" s="75">
        <v>1</v>
      </c>
      <c r="B137" s="76">
        <v>2</v>
      </c>
      <c r="C137" s="76"/>
      <c r="D137" s="76">
        <v>3</v>
      </c>
      <c r="E137" s="76">
        <v>4</v>
      </c>
      <c r="F137" s="77">
        <v>5</v>
      </c>
      <c r="G137" s="77"/>
    </row>
    <row r="138" ht="15.75" spans="1:7">
      <c r="A138" s="533" t="s">
        <v>172</v>
      </c>
      <c r="B138" s="323">
        <v>0.0406048050865124</v>
      </c>
      <c r="C138" s="112">
        <v>0</v>
      </c>
      <c r="D138" s="80">
        <v>0</v>
      </c>
      <c r="E138" s="80">
        <v>0</v>
      </c>
      <c r="F138" s="81">
        <v>0</v>
      </c>
      <c r="G138" s="81">
        <v>0</v>
      </c>
    </row>
    <row r="139" ht="15.75" spans="1:7">
      <c r="A139" s="533" t="s">
        <v>173</v>
      </c>
      <c r="B139" s="323">
        <v>0.0460773907169739</v>
      </c>
      <c r="C139" s="79">
        <f>B138</f>
        <v>0.0406048050865124</v>
      </c>
      <c r="D139" s="80">
        <v>0</v>
      </c>
      <c r="E139" s="80">
        <v>0</v>
      </c>
      <c r="F139" s="81">
        <v>0</v>
      </c>
      <c r="G139" s="81">
        <v>0</v>
      </c>
    </row>
    <row r="140" ht="15.75" spans="1:7">
      <c r="A140" s="533" t="s">
        <v>174</v>
      </c>
      <c r="B140" s="323">
        <v>0.0499919823774276</v>
      </c>
      <c r="C140" s="79">
        <f t="shared" ref="C140:C188" si="2">B139</f>
        <v>0.0460773907169739</v>
      </c>
      <c r="D140" s="80">
        <v>0</v>
      </c>
      <c r="E140" s="80">
        <v>0</v>
      </c>
      <c r="F140" s="81">
        <v>0</v>
      </c>
      <c r="G140" s="81">
        <v>0</v>
      </c>
    </row>
    <row r="141" ht="15.75" spans="1:7">
      <c r="A141" s="533" t="s">
        <v>175</v>
      </c>
      <c r="B141" s="323">
        <v>0.0569258854630999</v>
      </c>
      <c r="C141" s="79">
        <f t="shared" si="2"/>
        <v>0.0499919823774276</v>
      </c>
      <c r="D141" s="80">
        <v>0</v>
      </c>
      <c r="E141" s="80">
        <v>0</v>
      </c>
      <c r="F141" s="81">
        <v>0</v>
      </c>
      <c r="G141" s="81">
        <v>0</v>
      </c>
    </row>
    <row r="142" ht="15.75" spans="1:7">
      <c r="A142" s="533" t="s">
        <v>176</v>
      </c>
      <c r="B142" s="323">
        <v>0.0659875460975757</v>
      </c>
      <c r="C142" s="79">
        <f t="shared" si="2"/>
        <v>0.0569258854630999</v>
      </c>
      <c r="D142" s="80">
        <v>0</v>
      </c>
      <c r="E142" s="80">
        <v>0</v>
      </c>
      <c r="F142" s="81">
        <v>0</v>
      </c>
      <c r="G142" s="81">
        <v>0</v>
      </c>
    </row>
    <row r="143" ht="15.75" spans="1:7">
      <c r="A143" s="533" t="s">
        <v>177</v>
      </c>
      <c r="B143" s="323">
        <v>0.0700269931165562</v>
      </c>
      <c r="C143" s="79">
        <f t="shared" si="2"/>
        <v>0.0659875460975757</v>
      </c>
      <c r="D143" s="80">
        <v>0</v>
      </c>
      <c r="E143" s="80">
        <v>0</v>
      </c>
      <c r="F143" s="81">
        <v>0</v>
      </c>
      <c r="G143" s="81">
        <v>0</v>
      </c>
    </row>
    <row r="144" ht="15.75" spans="1:7">
      <c r="A144" s="533" t="s">
        <v>178</v>
      </c>
      <c r="B144" s="323">
        <v>0.0721381267738884</v>
      </c>
      <c r="C144" s="79">
        <f t="shared" si="2"/>
        <v>0.0700269931165562</v>
      </c>
      <c r="D144" s="80">
        <v>0</v>
      </c>
      <c r="E144" s="80">
        <v>0</v>
      </c>
      <c r="F144" s="81">
        <v>0</v>
      </c>
      <c r="G144" s="81">
        <v>0</v>
      </c>
    </row>
    <row r="145" ht="15.75" spans="1:7">
      <c r="A145" s="257" t="s">
        <v>179</v>
      </c>
      <c r="B145" s="323">
        <v>0.0805301163586584</v>
      </c>
      <c r="C145" s="79">
        <f t="shared" si="2"/>
        <v>0.0721381267738884</v>
      </c>
      <c r="D145" s="80">
        <v>0</v>
      </c>
      <c r="E145" s="80">
        <v>0</v>
      </c>
      <c r="F145" s="81">
        <v>0</v>
      </c>
      <c r="G145" s="81">
        <v>0</v>
      </c>
    </row>
    <row r="146" ht="15.75" spans="1:7">
      <c r="A146" s="257" t="s">
        <v>180</v>
      </c>
      <c r="B146" s="323">
        <v>0.0870661308790805</v>
      </c>
      <c r="C146" s="79">
        <f t="shared" si="2"/>
        <v>0.0805301163586584</v>
      </c>
      <c r="D146" s="80">
        <v>0</v>
      </c>
      <c r="E146" s="80">
        <v>0</v>
      </c>
      <c r="F146" s="81">
        <v>0</v>
      </c>
      <c r="G146" s="81">
        <v>0</v>
      </c>
    </row>
    <row r="147" ht="15.75" spans="1:7">
      <c r="A147" s="257" t="s">
        <v>181</v>
      </c>
      <c r="B147" s="323">
        <v>0.0974533782070492</v>
      </c>
      <c r="C147" s="79">
        <f t="shared" si="2"/>
        <v>0.0870661308790805</v>
      </c>
      <c r="D147" s="80">
        <v>0</v>
      </c>
      <c r="E147" s="80">
        <v>0</v>
      </c>
      <c r="F147" s="81">
        <v>0</v>
      </c>
      <c r="G147" s="81">
        <v>0</v>
      </c>
    </row>
    <row r="148" ht="15.75" spans="1:7">
      <c r="A148" s="257" t="s">
        <v>182</v>
      </c>
      <c r="B148" s="323">
        <v>0.101197966027557</v>
      </c>
      <c r="C148" s="79">
        <f t="shared" si="2"/>
        <v>0.0974533782070492</v>
      </c>
      <c r="D148" s="80">
        <v>0</v>
      </c>
      <c r="E148" s="80">
        <v>0</v>
      </c>
      <c r="F148" s="81">
        <v>0</v>
      </c>
      <c r="G148" s="81">
        <v>0</v>
      </c>
    </row>
    <row r="149" ht="15.75" spans="1:7">
      <c r="A149" s="257" t="s">
        <v>183</v>
      </c>
      <c r="B149" s="323">
        <v>0.103807303807304</v>
      </c>
      <c r="C149" s="79">
        <f t="shared" si="2"/>
        <v>0.101197966027557</v>
      </c>
      <c r="D149" s="80">
        <v>0</v>
      </c>
      <c r="E149" s="80">
        <v>0</v>
      </c>
      <c r="F149" s="81">
        <v>0</v>
      </c>
      <c r="G149" s="81">
        <v>0</v>
      </c>
    </row>
    <row r="150" ht="15.75" spans="1:7">
      <c r="A150" s="257" t="s">
        <v>184</v>
      </c>
      <c r="B150" s="323">
        <v>0.115727128782547</v>
      </c>
      <c r="C150" s="79">
        <f t="shared" si="2"/>
        <v>0.103807303807304</v>
      </c>
      <c r="D150" s="80">
        <v>0</v>
      </c>
      <c r="E150" s="80">
        <v>0</v>
      </c>
      <c r="F150" s="81">
        <v>0</v>
      </c>
      <c r="G150" s="81">
        <v>0</v>
      </c>
    </row>
    <row r="151" ht="15.75" spans="1:7">
      <c r="A151" s="257" t="s">
        <v>185</v>
      </c>
      <c r="B151" s="323">
        <v>0.127635769660449</v>
      </c>
      <c r="C151" s="79">
        <f t="shared" si="2"/>
        <v>0.115727128782547</v>
      </c>
      <c r="D151" s="80">
        <v>0</v>
      </c>
      <c r="E151" s="80">
        <v>0</v>
      </c>
      <c r="F151" s="81">
        <v>0</v>
      </c>
      <c r="G151" s="81">
        <v>0</v>
      </c>
    </row>
    <row r="152" ht="15.75" spans="1:7">
      <c r="A152" s="257" t="s">
        <v>186</v>
      </c>
      <c r="B152" s="323">
        <v>0.136650386650387</v>
      </c>
      <c r="C152" s="79">
        <f t="shared" si="2"/>
        <v>0.127635769660449</v>
      </c>
      <c r="D152" s="80">
        <v>0</v>
      </c>
      <c r="E152" s="80">
        <v>0</v>
      </c>
      <c r="F152" s="81">
        <v>0</v>
      </c>
      <c r="G152" s="81">
        <v>0</v>
      </c>
    </row>
    <row r="153" ht="15.75" spans="1:7">
      <c r="A153" s="257" t="s">
        <v>187</v>
      </c>
      <c r="B153" s="323">
        <v>0.147206824562666</v>
      </c>
      <c r="C153" s="79">
        <f t="shared" si="2"/>
        <v>0.136650386650387</v>
      </c>
      <c r="D153" s="80">
        <v>0</v>
      </c>
      <c r="E153" s="80">
        <v>0</v>
      </c>
      <c r="F153" s="81">
        <v>0</v>
      </c>
      <c r="G153" s="81">
        <v>0</v>
      </c>
    </row>
    <row r="154" ht="15.75" spans="1:7">
      <c r="A154" s="257" t="s">
        <v>188</v>
      </c>
      <c r="B154" s="323">
        <v>0.156146908975117</v>
      </c>
      <c r="C154" s="79">
        <f t="shared" si="2"/>
        <v>0.147206824562666</v>
      </c>
      <c r="D154" s="80">
        <v>0</v>
      </c>
      <c r="E154" s="80"/>
      <c r="F154" s="81"/>
      <c r="G154" s="81"/>
    </row>
    <row r="155" ht="15.75" spans="1:7">
      <c r="A155" s="257" t="s">
        <v>189</v>
      </c>
      <c r="B155" s="323">
        <v>0.173845341614907</v>
      </c>
      <c r="C155" s="79">
        <f t="shared" si="2"/>
        <v>0.156146908975117</v>
      </c>
      <c r="D155" s="80">
        <v>0</v>
      </c>
      <c r="E155" s="80"/>
      <c r="F155" s="81"/>
      <c r="G155" s="81"/>
    </row>
    <row r="156" ht="15.75" spans="1:7">
      <c r="A156" s="257" t="s">
        <v>190</v>
      </c>
      <c r="B156" s="323">
        <v>0.190158325506507</v>
      </c>
      <c r="C156" s="79">
        <f t="shared" si="2"/>
        <v>0.173845341614907</v>
      </c>
      <c r="D156" s="80">
        <v>0.082794323171094</v>
      </c>
      <c r="E156" s="80"/>
      <c r="F156" s="81"/>
      <c r="G156" s="81"/>
    </row>
    <row r="157" ht="15.75" spans="1:7">
      <c r="A157" s="257" t="s">
        <v>191</v>
      </c>
      <c r="B157" s="323">
        <v>0.193050193050193</v>
      </c>
      <c r="C157" s="79">
        <f t="shared" si="2"/>
        <v>0.190158325506507</v>
      </c>
      <c r="D157" s="80">
        <v>0.0965339485286096</v>
      </c>
      <c r="E157" s="80">
        <v>0.00965339485286096</v>
      </c>
      <c r="F157" s="81">
        <v>0.0173600920359176</v>
      </c>
      <c r="G157" s="81">
        <v>0</v>
      </c>
    </row>
    <row r="158" ht="15.75" spans="1:7">
      <c r="A158" s="257" t="s">
        <v>192</v>
      </c>
      <c r="B158" s="323">
        <v>0.193693693693694</v>
      </c>
      <c r="C158" s="79">
        <f t="shared" si="2"/>
        <v>0.193050193050193</v>
      </c>
      <c r="D158" s="80">
        <v>0.0995354968723683</v>
      </c>
      <c r="E158" s="80">
        <v>0.00995354968723683</v>
      </c>
      <c r="F158" s="81">
        <v>0.017634643225167</v>
      </c>
      <c r="G158" s="81">
        <v>0</v>
      </c>
    </row>
    <row r="159" ht="15.75" spans="1:7">
      <c r="A159" s="257" t="s">
        <v>193</v>
      </c>
      <c r="B159" s="323">
        <v>0.206973684210526</v>
      </c>
      <c r="C159" s="79">
        <f t="shared" si="2"/>
        <v>0.193693693693694</v>
      </c>
      <c r="D159" s="80">
        <v>0.157311731121143</v>
      </c>
      <c r="E159" s="80">
        <v>0.0157311731121143</v>
      </c>
      <c r="F159" s="81">
        <v>0.0229194269456555</v>
      </c>
      <c r="G159" s="81">
        <v>0</v>
      </c>
    </row>
    <row r="160" ht="15.75" spans="1:7">
      <c r="A160" s="257" t="s">
        <v>194</v>
      </c>
      <c r="B160" s="323">
        <v>0.220338983050847</v>
      </c>
      <c r="C160" s="79">
        <f t="shared" si="2"/>
        <v>0.206973684210526</v>
      </c>
      <c r="D160" s="80">
        <v>0.208427427430769</v>
      </c>
      <c r="E160" s="80">
        <v>0.0208427427430769</v>
      </c>
      <c r="F160" s="81">
        <v>0.0275949722322414</v>
      </c>
      <c r="G160" s="81">
        <v>0</v>
      </c>
    </row>
    <row r="161" ht="15.75" spans="1:7">
      <c r="A161" s="257" t="s">
        <v>195</v>
      </c>
      <c r="B161" s="323">
        <v>0.221674876847291</v>
      </c>
      <c r="C161" s="79">
        <f t="shared" si="2"/>
        <v>0.220338983050847</v>
      </c>
      <c r="D161" s="80">
        <v>0.213197732952843</v>
      </c>
      <c r="E161" s="80">
        <v>0.0213197732952843</v>
      </c>
      <c r="F161" s="81">
        <v>0.0280313113826309</v>
      </c>
      <c r="G161" s="81">
        <v>0</v>
      </c>
    </row>
    <row r="162" ht="15.75" spans="1:7">
      <c r="A162" s="257" t="s">
        <v>196</v>
      </c>
      <c r="B162" s="323">
        <v>0.231147540983607</v>
      </c>
      <c r="C162" s="79">
        <f t="shared" si="2"/>
        <v>0.221674876847291</v>
      </c>
      <c r="D162" s="80">
        <v>0.245441699666546</v>
      </c>
      <c r="E162" s="80">
        <v>0.0245441699666546</v>
      </c>
      <c r="F162" s="81">
        <v>0.0309806623153834</v>
      </c>
      <c r="G162" s="81">
        <v>0</v>
      </c>
    </row>
    <row r="163" ht="15.75" spans="1:7">
      <c r="A163" s="257" t="s">
        <v>197</v>
      </c>
      <c r="B163" s="323">
        <v>0.248243243243243</v>
      </c>
      <c r="C163" s="79">
        <f t="shared" si="2"/>
        <v>0.231147540983607</v>
      </c>
      <c r="D163" s="80">
        <v>0.297405668036869</v>
      </c>
      <c r="E163" s="80">
        <v>0.0297405668036869</v>
      </c>
      <c r="F163" s="81">
        <v>0.0357337989236469</v>
      </c>
      <c r="G163" s="81">
        <v>0</v>
      </c>
    </row>
    <row r="164" ht="15.75" spans="1:7">
      <c r="A164" s="257" t="s">
        <v>198</v>
      </c>
      <c r="B164" s="323">
        <v>0.253729071537291</v>
      </c>
      <c r="C164" s="79">
        <f t="shared" si="2"/>
        <v>0.248243243243243</v>
      </c>
      <c r="D164" s="80">
        <v>0.312596327278903</v>
      </c>
      <c r="E164" s="80">
        <v>0.0312596327278903</v>
      </c>
      <c r="F164" s="81">
        <v>0.0371232863090677</v>
      </c>
      <c r="G164" s="81">
        <v>0</v>
      </c>
    </row>
    <row r="165" ht="15.75" spans="1:7">
      <c r="A165" s="257" t="s">
        <v>199</v>
      </c>
      <c r="B165" s="323">
        <v>0.283986928104575</v>
      </c>
      <c r="C165" s="79">
        <f t="shared" si="2"/>
        <v>0.253729071537291</v>
      </c>
      <c r="D165" s="80">
        <v>0.385836887581596</v>
      </c>
      <c r="E165" s="80">
        <v>0.0385836887581596</v>
      </c>
      <c r="F165" s="81">
        <v>0.062935538070086</v>
      </c>
      <c r="G165" s="81">
        <v>0</v>
      </c>
    </row>
    <row r="166" ht="15.75" spans="1:7">
      <c r="A166" s="257" t="s">
        <v>200</v>
      </c>
      <c r="B166" s="323">
        <v>0.298734485276223</v>
      </c>
      <c r="C166" s="79">
        <f t="shared" si="2"/>
        <v>0.283986928104575</v>
      </c>
      <c r="D166" s="80">
        <v>0.416156137817244</v>
      </c>
      <c r="E166" s="80">
        <v>0.0496936826903466</v>
      </c>
      <c r="F166" s="81">
        <v>0.0795753224533513</v>
      </c>
      <c r="G166" s="81">
        <v>0</v>
      </c>
    </row>
    <row r="167" ht="15.75" spans="1:7">
      <c r="A167" s="257" t="s">
        <v>201</v>
      </c>
      <c r="B167" s="323">
        <v>0.31047619047619</v>
      </c>
      <c r="C167" s="79">
        <f t="shared" si="2"/>
        <v>0.298734485276223</v>
      </c>
      <c r="D167" s="80">
        <v>0.438236164314755</v>
      </c>
      <c r="E167" s="80">
        <v>0.0629416985888528</v>
      </c>
      <c r="F167" s="81">
        <v>0.0916932632744396</v>
      </c>
      <c r="G167" s="81">
        <v>0</v>
      </c>
    </row>
    <row r="168" ht="15.75" spans="1:7">
      <c r="A168" s="257" t="s">
        <v>202</v>
      </c>
      <c r="B168" s="323">
        <v>0.318913867203438</v>
      </c>
      <c r="C168" s="79">
        <f t="shared" si="2"/>
        <v>0.31047619047619</v>
      </c>
      <c r="D168" s="80">
        <v>0.45309905404776</v>
      </c>
      <c r="E168" s="80">
        <v>0.0718594324286557</v>
      </c>
      <c r="F168" s="81">
        <v>0.0998503014118358</v>
      </c>
      <c r="G168" s="81">
        <v>0</v>
      </c>
    </row>
    <row r="169" ht="15.75" spans="1:7">
      <c r="A169" s="257" t="s">
        <v>203</v>
      </c>
      <c r="B169" s="323">
        <v>0.329377450980392</v>
      </c>
      <c r="C169" s="79">
        <f t="shared" si="2"/>
        <v>0.318913867203438</v>
      </c>
      <c r="D169" s="80">
        <v>0.470472871984092</v>
      </c>
      <c r="E169" s="80">
        <v>0.0822837231904552</v>
      </c>
      <c r="F169" s="81">
        <v>0.109385384968578</v>
      </c>
      <c r="G169" s="81">
        <v>0</v>
      </c>
    </row>
    <row r="170" ht="15.75" spans="1:7">
      <c r="A170" s="257" t="s">
        <v>204</v>
      </c>
      <c r="B170" s="323">
        <v>0.338982147562582</v>
      </c>
      <c r="C170" s="79">
        <f t="shared" si="2"/>
        <v>0.329377450980392</v>
      </c>
      <c r="D170" s="80">
        <v>0.485476456784063</v>
      </c>
      <c r="E170" s="80">
        <v>0.0912858740704377</v>
      </c>
      <c r="F170" s="81">
        <v>0.11761963924951</v>
      </c>
      <c r="G170" s="81">
        <v>0</v>
      </c>
    </row>
    <row r="171" ht="15.75" spans="1:7">
      <c r="A171" s="257" t="s">
        <v>205</v>
      </c>
      <c r="B171" s="323">
        <v>0.370603089720737</v>
      </c>
      <c r="C171" s="79">
        <f t="shared" si="2"/>
        <v>0.338982147562582</v>
      </c>
      <c r="D171" s="80">
        <v>0.529377113983925</v>
      </c>
      <c r="E171" s="80">
        <v>0.117626268390355</v>
      </c>
      <c r="F171" s="81">
        <v>0.141713159518374</v>
      </c>
      <c r="G171" s="81">
        <v>0</v>
      </c>
    </row>
    <row r="172" ht="15.75" spans="1:7">
      <c r="A172" s="257" t="s">
        <v>206</v>
      </c>
      <c r="B172" s="323">
        <v>0.381056661380234</v>
      </c>
      <c r="C172" s="79">
        <f t="shared" si="2"/>
        <v>0.370603089720737</v>
      </c>
      <c r="D172" s="80">
        <v>0.542287766288883</v>
      </c>
      <c r="E172" s="80">
        <v>0.12537265977333</v>
      </c>
      <c r="F172" s="81">
        <v>0.148798772418828</v>
      </c>
      <c r="G172" s="81">
        <v>0</v>
      </c>
    </row>
    <row r="173" ht="15.75" spans="1:7">
      <c r="A173" s="257" t="s">
        <v>207</v>
      </c>
      <c r="B173" s="323">
        <v>0.399087084107414</v>
      </c>
      <c r="C173" s="79">
        <f t="shared" si="2"/>
        <v>0.381056661380234</v>
      </c>
      <c r="D173" s="80">
        <v>0.562966824544229</v>
      </c>
      <c r="E173" s="80">
        <v>0.137780094726537</v>
      </c>
      <c r="F173" s="81">
        <v>0.160147835075178</v>
      </c>
      <c r="G173" s="81">
        <v>0</v>
      </c>
    </row>
    <row r="174" ht="15.75" spans="1:7">
      <c r="A174" s="257" t="s">
        <v>208</v>
      </c>
      <c r="B174" s="323">
        <v>0.426130952380952</v>
      </c>
      <c r="C174" s="79">
        <f t="shared" si="2"/>
        <v>0.399087084107414</v>
      </c>
      <c r="D174" s="80">
        <v>0.590702588778567</v>
      </c>
      <c r="E174" s="80">
        <v>0.15442155326714</v>
      </c>
      <c r="F174" s="81">
        <v>0.175369752931901</v>
      </c>
      <c r="G174" s="81">
        <v>0</v>
      </c>
    </row>
    <row r="175" ht="15.75" spans="1:7">
      <c r="A175" s="257" t="s">
        <v>209</v>
      </c>
      <c r="B175" s="323">
        <v>0.46319015534344</v>
      </c>
      <c r="C175" s="79">
        <f t="shared" si="2"/>
        <v>0.426130952380952</v>
      </c>
      <c r="D175" s="80">
        <v>0.623449907907638</v>
      </c>
      <c r="E175" s="80">
        <v>0.174069944744583</v>
      </c>
      <c r="F175" s="81">
        <v>0.193342107960556</v>
      </c>
      <c r="G175" s="81">
        <v>0</v>
      </c>
    </row>
    <row r="176" ht="15.75" spans="1:7">
      <c r="A176" s="257" t="s">
        <v>210</v>
      </c>
      <c r="B176" s="323">
        <v>0.502682295107963</v>
      </c>
      <c r="C176" s="79">
        <f t="shared" si="2"/>
        <v>0.46319015534344</v>
      </c>
      <c r="D176" s="80">
        <v>0.653032745835244</v>
      </c>
      <c r="E176" s="80">
        <v>0.191819647501146</v>
      </c>
      <c r="F176" s="81">
        <v>0.209577735185324</v>
      </c>
      <c r="G176" s="81">
        <v>0</v>
      </c>
    </row>
    <row r="177" ht="15.75" spans="1:7">
      <c r="A177" s="257" t="s">
        <v>211</v>
      </c>
      <c r="B177" s="323">
        <v>0.532376543209877</v>
      </c>
      <c r="C177" s="79">
        <f t="shared" si="2"/>
        <v>0.502682295107963</v>
      </c>
      <c r="D177" s="80">
        <v>0.67238546123906</v>
      </c>
      <c r="E177" s="80">
        <v>0.203431276743436</v>
      </c>
      <c r="F177" s="81">
        <v>0.220198875518522</v>
      </c>
      <c r="G177" s="81">
        <v>0</v>
      </c>
    </row>
    <row r="178" ht="15.75" spans="1:7">
      <c r="A178" s="257" t="s">
        <v>212</v>
      </c>
      <c r="B178" s="323">
        <v>0.560319767441861</v>
      </c>
      <c r="C178" s="79">
        <f t="shared" si="2"/>
        <v>0.532376543209877</v>
      </c>
      <c r="D178" s="80">
        <v>0.688723643559577</v>
      </c>
      <c r="E178" s="80">
        <v>0.213234186135746</v>
      </c>
      <c r="F178" s="81">
        <v>0.229165582442832</v>
      </c>
      <c r="G178" s="81">
        <v>0</v>
      </c>
    </row>
    <row r="179" ht="15.75" spans="1:7">
      <c r="A179" s="257" t="s">
        <v>213</v>
      </c>
      <c r="B179" s="323">
        <v>0.622125455373406</v>
      </c>
      <c r="C179" s="79">
        <f t="shared" si="2"/>
        <v>0.560319767441861</v>
      </c>
      <c r="D179" s="80">
        <v>0.719647710691789</v>
      </c>
      <c r="E179" s="80">
        <v>0.231788626415074</v>
      </c>
      <c r="F179" s="81">
        <v>0.246137301906021</v>
      </c>
      <c r="G179" s="81">
        <v>0</v>
      </c>
    </row>
    <row r="180" ht="15.75" spans="1:7">
      <c r="A180" s="257" t="s">
        <v>214</v>
      </c>
      <c r="B180" s="323">
        <v>0.668261562998405</v>
      </c>
      <c r="C180" s="79">
        <f t="shared" si="2"/>
        <v>0.622125455373406</v>
      </c>
      <c r="D180" s="80">
        <v>0.739002951376894</v>
      </c>
      <c r="E180" s="80">
        <v>0.243401770826136</v>
      </c>
      <c r="F180" s="81">
        <v>0.256759828161887</v>
      </c>
      <c r="G180" s="81">
        <v>0</v>
      </c>
    </row>
    <row r="181" ht="15.75" spans="1:7">
      <c r="A181" s="257" t="s">
        <v>215</v>
      </c>
      <c r="B181" s="323">
        <v>0.687522927366104</v>
      </c>
      <c r="C181" s="79">
        <f t="shared" si="2"/>
        <v>0.668261562998405</v>
      </c>
      <c r="D181" s="80">
        <v>0.746314939170062</v>
      </c>
      <c r="E181" s="80">
        <v>0.247788963502037</v>
      </c>
      <c r="F181" s="81">
        <v>0.260772786904129</v>
      </c>
      <c r="G181" s="81">
        <v>0</v>
      </c>
    </row>
    <row r="182" ht="15.75" spans="1:7">
      <c r="A182" s="257" t="s">
        <v>216</v>
      </c>
      <c r="B182" s="323">
        <v>0.705350158483344</v>
      </c>
      <c r="C182" s="79">
        <f t="shared" si="2"/>
        <v>0.687522927366104</v>
      </c>
      <c r="D182" s="80">
        <v>0.752726651361536</v>
      </c>
      <c r="E182" s="80">
        <v>0.251635990816922</v>
      </c>
      <c r="F182" s="81">
        <v>0.264291657178442</v>
      </c>
      <c r="G182" s="81">
        <v>0</v>
      </c>
    </row>
    <row r="183" ht="15.75" spans="1:7">
      <c r="A183" s="257" t="s">
        <v>217</v>
      </c>
      <c r="B183" s="323">
        <v>0.788804347826087</v>
      </c>
      <c r="C183" s="79">
        <f t="shared" si="2"/>
        <v>0.705350158483344</v>
      </c>
      <c r="D183" s="80">
        <v>0.778887760784374</v>
      </c>
      <c r="E183" s="80">
        <v>0.267332656470624</v>
      </c>
      <c r="F183" s="81">
        <v>0.27864937435943</v>
      </c>
      <c r="G183" s="81">
        <v>0</v>
      </c>
    </row>
    <row r="184" ht="15.75" spans="1:7">
      <c r="A184" s="257" t="s">
        <v>218</v>
      </c>
      <c r="B184" s="323">
        <v>0.923758241758242</v>
      </c>
      <c r="C184" s="79">
        <f t="shared" si="2"/>
        <v>0.788804347826087</v>
      </c>
      <c r="D184" s="80">
        <v>0.811190539075597</v>
      </c>
      <c r="E184" s="80">
        <v>0.286714323445358</v>
      </c>
      <c r="F184" s="81">
        <v>0.296377756874456</v>
      </c>
      <c r="G184" s="81">
        <v>0</v>
      </c>
    </row>
    <row r="185" ht="15.75" spans="1:7">
      <c r="A185" s="257" t="s">
        <v>219</v>
      </c>
      <c r="B185" s="323">
        <v>1.09313291139241</v>
      </c>
      <c r="C185" s="79">
        <f t="shared" si="2"/>
        <v>0.923758241758242</v>
      </c>
      <c r="D185" s="80">
        <v>0.84044548120989</v>
      </c>
      <c r="E185" s="80">
        <v>0.304267288725934</v>
      </c>
      <c r="F185" s="81">
        <v>0.312433428616864</v>
      </c>
      <c r="G185" s="81">
        <v>0</v>
      </c>
    </row>
    <row r="186" ht="15.75" spans="1:7">
      <c r="A186" s="257" t="s">
        <v>220</v>
      </c>
      <c r="B186" s="323">
        <v>1.28365288139954</v>
      </c>
      <c r="C186" s="79">
        <f t="shared" si="2"/>
        <v>1.09313291139241</v>
      </c>
      <c r="D186" s="80">
        <v>0.864126588910323</v>
      </c>
      <c r="E186" s="80">
        <v>0.318475953346194</v>
      </c>
      <c r="F186" s="81">
        <v>0.325430073422704</v>
      </c>
      <c r="G186" s="81">
        <v>0</v>
      </c>
    </row>
    <row r="187" ht="15.75" spans="1:7">
      <c r="A187" s="257" t="s">
        <v>221</v>
      </c>
      <c r="B187" s="322">
        <v>1.78657066034652</v>
      </c>
      <c r="C187" s="79">
        <f t="shared" si="2"/>
        <v>1.28365288139954</v>
      </c>
      <c r="D187" s="80">
        <v>0.902374812526576</v>
      </c>
      <c r="E187" s="80">
        <v>0.341424887515946</v>
      </c>
      <c r="F187" s="81">
        <v>0.346421430038411</v>
      </c>
      <c r="G187" s="81">
        <v>0</v>
      </c>
    </row>
    <row r="188" ht="15.75" spans="1:7">
      <c r="A188" s="257" t="s">
        <v>221</v>
      </c>
      <c r="B188" s="319" t="s">
        <v>352</v>
      </c>
      <c r="C188" s="79">
        <f t="shared" si="2"/>
        <v>1.78657066034652</v>
      </c>
      <c r="D188" s="260"/>
      <c r="E188" s="72"/>
      <c r="F188" s="73"/>
      <c r="G188" s="84"/>
    </row>
    <row r="189" ht="15.75" spans="1:7">
      <c r="A189" s="257"/>
      <c r="B189" s="257">
        <v>5.4</v>
      </c>
      <c r="C189" s="116"/>
      <c r="D189" s="260"/>
      <c r="E189" s="261">
        <v>0.0875711725515864</v>
      </c>
      <c r="F189" s="262">
        <v>0.0973671843761171</v>
      </c>
      <c r="G189" s="262">
        <v>0</v>
      </c>
    </row>
    <row r="190" ht="48.75" spans="1:7">
      <c r="A190" s="256" t="s">
        <v>233</v>
      </c>
      <c r="B190" s="257">
        <v>2.4</v>
      </c>
      <c r="C190" s="116"/>
      <c r="D190" s="260"/>
      <c r="E190" s="263">
        <v>0.290690492751413</v>
      </c>
      <c r="F190" s="264">
        <v>0.265894169768605</v>
      </c>
      <c r="G190" s="265">
        <v>2.4</v>
      </c>
    </row>
    <row r="191" ht="48.75" spans="1:7">
      <c r="A191" s="256" t="s">
        <v>224</v>
      </c>
      <c r="B191" s="116">
        <v>0.365</v>
      </c>
      <c r="C191" s="116"/>
      <c r="D191" s="72"/>
      <c r="E191" s="72"/>
      <c r="F191" s="73"/>
      <c r="G191" s="73"/>
    </row>
    <row r="192" ht="84.75" spans="1:7">
      <c r="A192" s="266" t="s">
        <v>225</v>
      </c>
      <c r="B192" s="116">
        <v>1.44</v>
      </c>
      <c r="C192" s="116"/>
      <c r="D192" s="72"/>
      <c r="E192" s="72">
        <v>0.174414295650848</v>
      </c>
      <c r="F192" s="73">
        <v>0.159536501861163</v>
      </c>
      <c r="G192" s="73">
        <v>1.44</v>
      </c>
    </row>
    <row r="195" spans="1:3">
      <c r="A195" s="531" t="s">
        <v>226</v>
      </c>
      <c r="B195" s="95">
        <f>AVERAGE(B143:B182)</f>
        <v>0.290690492751413</v>
      </c>
      <c r="C195" s="95"/>
    </row>
    <row r="196" spans="1:3">
      <c r="A196" s="531" t="s">
        <v>227</v>
      </c>
      <c r="B196" s="96">
        <f>AVERAGE(B148:B177)</f>
        <v>0.265894169768605</v>
      </c>
      <c r="C196" s="96"/>
    </row>
    <row r="197" spans="1:3">
      <c r="A197" s="531" t="s">
        <v>228</v>
      </c>
      <c r="B197" s="96">
        <f>AVERAGE(B154:B172)</f>
        <v>0.259006983337768</v>
      </c>
      <c r="C197" s="96"/>
    </row>
    <row r="200" customHeight="1" spans="1:7">
      <c r="A200" s="83" t="s">
        <v>165</v>
      </c>
      <c r="B200" s="83" t="s">
        <v>234</v>
      </c>
      <c r="C200" s="83"/>
      <c r="D200" s="83"/>
      <c r="E200" s="86">
        <f>(1-E255)^(1/3)-1</f>
        <v>-0.029765411898526</v>
      </c>
      <c r="F200" s="86">
        <f>(1-F255)^(1/3)-1</f>
        <v>-0.0339762711406901</v>
      </c>
      <c r="G200" s="86"/>
    </row>
    <row r="201" ht="72" spans="1:7">
      <c r="A201" s="83"/>
      <c r="B201" s="83" t="s">
        <v>167</v>
      </c>
      <c r="C201" s="83"/>
      <c r="D201" s="83" t="s">
        <v>168</v>
      </c>
      <c r="E201" s="83" t="s">
        <v>169</v>
      </c>
      <c r="F201" s="84" t="s">
        <v>169</v>
      </c>
      <c r="G201" s="84"/>
    </row>
    <row r="202" ht="24" spans="1:7">
      <c r="A202" s="83"/>
      <c r="B202" s="83" t="s">
        <v>235</v>
      </c>
      <c r="C202" s="83"/>
      <c r="D202" s="83" t="s">
        <v>171</v>
      </c>
      <c r="E202" s="534" t="s">
        <v>227</v>
      </c>
      <c r="F202" s="84"/>
      <c r="G202" s="267"/>
    </row>
    <row r="203" spans="1:7">
      <c r="A203" s="75">
        <v>1</v>
      </c>
      <c r="B203" s="76">
        <v>2</v>
      </c>
      <c r="C203" s="76"/>
      <c r="D203" s="76">
        <v>3</v>
      </c>
      <c r="E203" s="76">
        <v>4</v>
      </c>
      <c r="F203" s="77">
        <v>5</v>
      </c>
      <c r="G203" s="77"/>
    </row>
    <row r="204" spans="1:7">
      <c r="A204" s="530" t="s">
        <v>172</v>
      </c>
      <c r="B204" s="103">
        <v>0.113567731151209</v>
      </c>
      <c r="C204" s="89">
        <v>0</v>
      </c>
      <c r="D204" s="80">
        <v>0</v>
      </c>
      <c r="E204" s="80">
        <v>0</v>
      </c>
      <c r="F204" s="81">
        <v>0</v>
      </c>
      <c r="G204" s="81">
        <v>0</v>
      </c>
    </row>
    <row r="205" spans="1:7">
      <c r="A205" s="530" t="s">
        <v>173</v>
      </c>
      <c r="B205" s="103">
        <v>0.138952619269592</v>
      </c>
      <c r="C205" s="79">
        <f>B204</f>
        <v>0.113567731151209</v>
      </c>
      <c r="D205" s="80">
        <v>0</v>
      </c>
      <c r="E205" s="80">
        <v>0</v>
      </c>
      <c r="F205" s="81">
        <v>0</v>
      </c>
      <c r="G205" s="81">
        <v>0</v>
      </c>
    </row>
    <row r="206" spans="1:7">
      <c r="A206" s="530" t="s">
        <v>174</v>
      </c>
      <c r="B206" s="103">
        <v>0.173493369344652</v>
      </c>
      <c r="C206" s="79">
        <f t="shared" ref="C206:C254" si="3">B205</f>
        <v>0.138952619269592</v>
      </c>
      <c r="D206" s="80">
        <v>0</v>
      </c>
      <c r="E206" s="80">
        <v>0</v>
      </c>
      <c r="F206" s="81">
        <v>0</v>
      </c>
      <c r="G206" s="81">
        <v>0</v>
      </c>
    </row>
    <row r="207" spans="1:7">
      <c r="A207" s="530" t="s">
        <v>175</v>
      </c>
      <c r="B207" s="103">
        <v>0.194001017149447</v>
      </c>
      <c r="C207" s="79">
        <f t="shared" si="3"/>
        <v>0.173493369344652</v>
      </c>
      <c r="D207" s="80">
        <v>0</v>
      </c>
      <c r="E207" s="80">
        <v>0</v>
      </c>
      <c r="F207" s="81">
        <v>0</v>
      </c>
      <c r="G207" s="81">
        <v>0</v>
      </c>
    </row>
    <row r="208" spans="1:7">
      <c r="A208" s="530" t="s">
        <v>176</v>
      </c>
      <c r="B208" s="103">
        <v>0.216627400988909</v>
      </c>
      <c r="C208" s="79">
        <f t="shared" si="3"/>
        <v>0.194001017149447</v>
      </c>
      <c r="D208" s="80">
        <v>0</v>
      </c>
      <c r="E208" s="80">
        <v>0</v>
      </c>
      <c r="F208" s="81">
        <v>0</v>
      </c>
      <c r="G208" s="81">
        <v>0</v>
      </c>
    </row>
    <row r="209" spans="1:7">
      <c r="A209" s="530" t="s">
        <v>177</v>
      </c>
      <c r="B209" s="103">
        <v>0.23472846949857</v>
      </c>
      <c r="C209" s="79">
        <f t="shared" si="3"/>
        <v>0.216627400988909</v>
      </c>
      <c r="D209" s="80">
        <v>0</v>
      </c>
      <c r="E209" s="80">
        <v>0</v>
      </c>
      <c r="F209" s="81">
        <v>0</v>
      </c>
      <c r="G209" s="81">
        <v>0</v>
      </c>
    </row>
    <row r="210" spans="1:7">
      <c r="A210" s="530" t="s">
        <v>178</v>
      </c>
      <c r="B210" s="103">
        <v>0.250932151681374</v>
      </c>
      <c r="C210" s="79">
        <f t="shared" si="3"/>
        <v>0.23472846949857</v>
      </c>
      <c r="D210" s="80">
        <v>0</v>
      </c>
      <c r="E210" s="80">
        <v>0</v>
      </c>
      <c r="F210" s="81">
        <v>0</v>
      </c>
      <c r="G210" s="81">
        <v>0</v>
      </c>
    </row>
    <row r="211" spans="1:7">
      <c r="A211" s="78" t="s">
        <v>179</v>
      </c>
      <c r="B211" s="103">
        <v>0.270068635625008</v>
      </c>
      <c r="C211" s="79">
        <f t="shared" si="3"/>
        <v>0.250932151681374</v>
      </c>
      <c r="D211" s="80">
        <v>0</v>
      </c>
      <c r="E211" s="80">
        <v>0</v>
      </c>
      <c r="F211" s="81">
        <v>0</v>
      </c>
      <c r="G211" s="81">
        <v>0</v>
      </c>
    </row>
    <row r="212" spans="1:7">
      <c r="A212" s="78" t="s">
        <v>180</v>
      </c>
      <c r="B212" s="103">
        <v>0.282974263854261</v>
      </c>
      <c r="C212" s="79">
        <f t="shared" si="3"/>
        <v>0.270068635625008</v>
      </c>
      <c r="D212" s="80">
        <v>0</v>
      </c>
      <c r="E212" s="80">
        <v>0</v>
      </c>
      <c r="F212" s="81">
        <v>0</v>
      </c>
      <c r="G212" s="81">
        <v>0</v>
      </c>
    </row>
    <row r="213" spans="1:7">
      <c r="A213" s="78" t="s">
        <v>181</v>
      </c>
      <c r="B213" s="103">
        <v>0.30466767508166</v>
      </c>
      <c r="C213" s="79">
        <f t="shared" si="3"/>
        <v>0.282974263854261</v>
      </c>
      <c r="D213" s="80">
        <v>0</v>
      </c>
      <c r="E213" s="80">
        <v>0</v>
      </c>
      <c r="F213" s="81">
        <v>0</v>
      </c>
      <c r="G213" s="81">
        <v>0</v>
      </c>
    </row>
    <row r="214" spans="1:7">
      <c r="A214" s="78" t="s">
        <v>182</v>
      </c>
      <c r="B214" s="103">
        <v>0.327528948579225</v>
      </c>
      <c r="C214" s="79">
        <f t="shared" si="3"/>
        <v>0.30466767508166</v>
      </c>
      <c r="D214" s="80">
        <v>0</v>
      </c>
      <c r="E214" s="80">
        <v>0</v>
      </c>
      <c r="F214" s="81">
        <v>0</v>
      </c>
      <c r="G214" s="81">
        <v>0</v>
      </c>
    </row>
    <row r="215" spans="1:7">
      <c r="A215" s="78" t="s">
        <v>183</v>
      </c>
      <c r="B215" s="103">
        <v>0.34343093639151</v>
      </c>
      <c r="C215" s="79">
        <f t="shared" si="3"/>
        <v>0.327528948579225</v>
      </c>
      <c r="D215" s="80">
        <v>0</v>
      </c>
      <c r="E215" s="80">
        <v>0</v>
      </c>
      <c r="F215" s="81">
        <v>0</v>
      </c>
      <c r="G215" s="81">
        <v>0</v>
      </c>
    </row>
    <row r="216" spans="1:7">
      <c r="A216" s="78" t="s">
        <v>184</v>
      </c>
      <c r="B216" s="103">
        <v>0.352763125909108</v>
      </c>
      <c r="C216" s="79">
        <f t="shared" si="3"/>
        <v>0.34343093639151</v>
      </c>
      <c r="D216" s="80">
        <v>0</v>
      </c>
      <c r="E216" s="80">
        <v>0</v>
      </c>
      <c r="F216" s="81">
        <v>0</v>
      </c>
      <c r="G216" s="81">
        <v>0</v>
      </c>
    </row>
    <row r="217" spans="1:7">
      <c r="A217" s="78" t="s">
        <v>185</v>
      </c>
      <c r="B217" s="103">
        <v>0.362702334616313</v>
      </c>
      <c r="C217" s="79">
        <f t="shared" si="3"/>
        <v>0.352763125909108</v>
      </c>
      <c r="D217" s="80">
        <v>0</v>
      </c>
      <c r="E217" s="80">
        <v>0</v>
      </c>
      <c r="F217" s="81">
        <v>0</v>
      </c>
      <c r="G217" s="81">
        <v>0</v>
      </c>
    </row>
    <row r="218" spans="1:7">
      <c r="A218" s="78" t="s">
        <v>186</v>
      </c>
      <c r="B218" s="103">
        <v>0.374999534688631</v>
      </c>
      <c r="C218" s="79">
        <f t="shared" si="3"/>
        <v>0.362702334616313</v>
      </c>
      <c r="D218" s="80">
        <v>0</v>
      </c>
      <c r="E218" s="80">
        <v>0</v>
      </c>
      <c r="F218" s="81">
        <v>0</v>
      </c>
      <c r="G218" s="81">
        <v>0</v>
      </c>
    </row>
    <row r="219" spans="1:7">
      <c r="A219" s="78" t="s">
        <v>187</v>
      </c>
      <c r="B219" s="103">
        <v>0.389487426459841</v>
      </c>
      <c r="C219" s="79">
        <f t="shared" si="3"/>
        <v>0.374999534688631</v>
      </c>
      <c r="D219" s="80">
        <v>0</v>
      </c>
      <c r="E219" s="80">
        <v>0</v>
      </c>
      <c r="F219" s="81">
        <v>0</v>
      </c>
      <c r="G219" s="81">
        <v>0</v>
      </c>
    </row>
    <row r="220" spans="1:7">
      <c r="A220" s="78" t="s">
        <v>188</v>
      </c>
      <c r="B220" s="103">
        <v>0.41105236015347</v>
      </c>
      <c r="C220" s="79">
        <f t="shared" si="3"/>
        <v>0.389487426459841</v>
      </c>
      <c r="D220" s="80">
        <v>0</v>
      </c>
      <c r="E220" s="80">
        <v>0</v>
      </c>
      <c r="F220" s="81">
        <v>0</v>
      </c>
      <c r="G220" s="81">
        <v>0</v>
      </c>
    </row>
    <row r="221" spans="1:7">
      <c r="A221" s="78" t="s">
        <v>189</v>
      </c>
      <c r="B221" s="103">
        <v>0.429309031195165</v>
      </c>
      <c r="C221" s="79">
        <f t="shared" si="3"/>
        <v>0.41105236015347</v>
      </c>
      <c r="D221" s="80">
        <v>0</v>
      </c>
      <c r="E221" s="80">
        <v>0</v>
      </c>
      <c r="F221" s="81">
        <v>0.00346604818458827</v>
      </c>
      <c r="G221" s="81">
        <v>0</v>
      </c>
    </row>
    <row r="222" spans="1:7">
      <c r="A222" s="78" t="s">
        <v>190</v>
      </c>
      <c r="B222" s="103">
        <v>0.451228008209222</v>
      </c>
      <c r="C222" s="79">
        <f t="shared" si="3"/>
        <v>0.429309031195165</v>
      </c>
      <c r="D222" s="80">
        <v>0</v>
      </c>
      <c r="E222" s="80"/>
      <c r="F222" s="81"/>
      <c r="G222" s="81"/>
    </row>
    <row r="223" spans="1:7">
      <c r="A223" s="78" t="s">
        <v>191</v>
      </c>
      <c r="B223" s="103">
        <v>0.480195448666289</v>
      </c>
      <c r="C223" s="79">
        <f t="shared" si="3"/>
        <v>0.451228008209222</v>
      </c>
      <c r="D223" s="80">
        <v>0.0253713877859343</v>
      </c>
      <c r="E223" s="80"/>
      <c r="F223" s="81"/>
      <c r="G223" s="81"/>
    </row>
    <row r="224" spans="1:7">
      <c r="A224" s="78" t="s">
        <v>192</v>
      </c>
      <c r="B224" s="103">
        <v>0.509416487569505</v>
      </c>
      <c r="C224" s="79">
        <f t="shared" si="3"/>
        <v>0.480195448666289</v>
      </c>
      <c r="D224" s="80">
        <v>0.0812778244416757</v>
      </c>
      <c r="E224" s="80"/>
      <c r="F224" s="81"/>
      <c r="G224" s="81"/>
    </row>
    <row r="225" spans="1:7">
      <c r="A225" s="78" t="s">
        <v>193</v>
      </c>
      <c r="B225" s="103">
        <v>0.52460803720442</v>
      </c>
      <c r="C225" s="79">
        <f t="shared" si="3"/>
        <v>0.509416487569505</v>
      </c>
      <c r="D225" s="80">
        <v>0.107882093802597</v>
      </c>
      <c r="E225" s="80">
        <v>0.0107882093802597</v>
      </c>
      <c r="F225" s="81">
        <v>0.0210021684910511</v>
      </c>
      <c r="G225" s="81">
        <v>0</v>
      </c>
    </row>
    <row r="226" spans="1:7">
      <c r="A226" s="78" t="s">
        <v>194</v>
      </c>
      <c r="B226" s="103">
        <v>0.541603609900141</v>
      </c>
      <c r="C226" s="79">
        <f t="shared" si="3"/>
        <v>0.52460803720442</v>
      </c>
      <c r="D226" s="80">
        <v>0.135876838392147</v>
      </c>
      <c r="E226" s="80">
        <v>0.0135876838392147</v>
      </c>
      <c r="F226" s="81">
        <v>0.0234811279434488</v>
      </c>
      <c r="G226" s="81">
        <v>0</v>
      </c>
    </row>
    <row r="227" spans="1:7">
      <c r="A227" s="78" t="s">
        <v>195</v>
      </c>
      <c r="B227" s="103">
        <v>0.570548973469173</v>
      </c>
      <c r="C227" s="79">
        <f t="shared" si="3"/>
        <v>0.541603609900141</v>
      </c>
      <c r="D227" s="80">
        <v>0.179715948169307</v>
      </c>
      <c r="E227" s="80">
        <v>0.0179715948169307</v>
      </c>
      <c r="F227" s="81">
        <v>0.0273631199801742</v>
      </c>
      <c r="G227" s="81">
        <v>0</v>
      </c>
    </row>
    <row r="228" spans="1:7">
      <c r="A228" s="78" t="s">
        <v>196</v>
      </c>
      <c r="B228" s="103">
        <v>0.594541466362942</v>
      </c>
      <c r="C228" s="79">
        <f t="shared" si="3"/>
        <v>0.570548973469173</v>
      </c>
      <c r="D228" s="80">
        <v>0.212818196536968</v>
      </c>
      <c r="E228" s="80">
        <v>0.0212818196536968</v>
      </c>
      <c r="F228" s="81">
        <v>0.0302943534202271</v>
      </c>
      <c r="G228" s="81">
        <v>0</v>
      </c>
    </row>
    <row r="229" spans="1:7">
      <c r="A229" s="78" t="s">
        <v>197</v>
      </c>
      <c r="B229" s="103">
        <v>0.613032832734564</v>
      </c>
      <c r="C229" s="79">
        <f t="shared" si="3"/>
        <v>0.594541466362942</v>
      </c>
      <c r="D229" s="80">
        <v>0.236562548146945</v>
      </c>
      <c r="E229" s="80">
        <v>0.0236562548146945</v>
      </c>
      <c r="F229" s="81">
        <v>0.0323969368060595</v>
      </c>
      <c r="G229" s="81">
        <v>0</v>
      </c>
    </row>
    <row r="230" spans="1:7">
      <c r="A230" s="78" t="s">
        <v>198</v>
      </c>
      <c r="B230" s="103">
        <v>0.641122546564847</v>
      </c>
      <c r="C230" s="79">
        <f t="shared" si="3"/>
        <v>0.613032832734564</v>
      </c>
      <c r="D230" s="80">
        <v>0.270011285310806</v>
      </c>
      <c r="E230" s="80">
        <v>0.0270011285310806</v>
      </c>
      <c r="F230" s="81">
        <v>0.0353588521361987</v>
      </c>
      <c r="G230" s="81">
        <v>0</v>
      </c>
    </row>
    <row r="231" spans="1:7">
      <c r="A231" s="78" t="s">
        <v>199</v>
      </c>
      <c r="B231" s="103">
        <v>0.678239628044968</v>
      </c>
      <c r="C231" s="79">
        <f t="shared" si="3"/>
        <v>0.641122546564847</v>
      </c>
      <c r="D231" s="80">
        <v>0.309960367438002</v>
      </c>
      <c r="E231" s="80">
        <v>0.0309960367438002</v>
      </c>
      <c r="F231" s="81">
        <v>0.0388963787757806</v>
      </c>
      <c r="G231" s="81">
        <v>0</v>
      </c>
    </row>
    <row r="232" spans="1:7">
      <c r="A232" s="78" t="s">
        <v>200</v>
      </c>
      <c r="B232" s="103">
        <v>0.713579039634829</v>
      </c>
      <c r="C232" s="79">
        <f t="shared" si="3"/>
        <v>0.678239628044968</v>
      </c>
      <c r="D232" s="80">
        <v>0.344134009366869</v>
      </c>
      <c r="E232" s="80">
        <v>0.0344134009366869</v>
      </c>
      <c r="F232" s="81">
        <v>0.051534910393192</v>
      </c>
      <c r="G232" s="81">
        <v>0</v>
      </c>
    </row>
    <row r="233" spans="1:7">
      <c r="A233" s="78" t="s">
        <v>201</v>
      </c>
      <c r="B233" s="103">
        <v>0.753573022247837</v>
      </c>
      <c r="C233" s="79">
        <f t="shared" si="3"/>
        <v>0.713579039634829</v>
      </c>
      <c r="D233" s="80">
        <v>0.378942438346453</v>
      </c>
      <c r="E233" s="80">
        <v>0.0378942438346453</v>
      </c>
      <c r="F233" s="81">
        <v>0.0700288138684034</v>
      </c>
      <c r="G233" s="81">
        <v>0</v>
      </c>
    </row>
    <row r="234" spans="1:7">
      <c r="A234" s="78" t="s">
        <v>202</v>
      </c>
      <c r="B234" s="103">
        <v>0.791286888657419</v>
      </c>
      <c r="C234" s="79">
        <f t="shared" si="3"/>
        <v>0.753573022247837</v>
      </c>
      <c r="D234" s="80">
        <v>0.408542931225342</v>
      </c>
      <c r="E234" s="80">
        <v>0.0451257587352054</v>
      </c>
      <c r="F234" s="81">
        <v>0.0857557131904596</v>
      </c>
      <c r="G234" s="81">
        <v>0</v>
      </c>
    </row>
    <row r="235" spans="1:7">
      <c r="A235" s="78" t="s">
        <v>203</v>
      </c>
      <c r="B235" s="103">
        <v>0.836814057511097</v>
      </c>
      <c r="C235" s="79">
        <f t="shared" si="3"/>
        <v>0.791286888657419</v>
      </c>
      <c r="D235" s="80">
        <v>0.440721365129637</v>
      </c>
      <c r="E235" s="80">
        <v>0.0644328190777822</v>
      </c>
      <c r="F235" s="81">
        <v>0.102852286292295</v>
      </c>
      <c r="G235" s="81">
        <v>0</v>
      </c>
    </row>
    <row r="236" spans="1:7">
      <c r="A236" s="78" t="s">
        <v>204</v>
      </c>
      <c r="B236" s="103">
        <v>0.876238522984687</v>
      </c>
      <c r="C236" s="79">
        <f t="shared" si="3"/>
        <v>0.836814057511097</v>
      </c>
      <c r="D236" s="80">
        <v>0.46588490297029</v>
      </c>
      <c r="E236" s="80">
        <v>0.0795309417821739</v>
      </c>
      <c r="F236" s="81">
        <v>0.116221807800801</v>
      </c>
      <c r="G236" s="81">
        <v>0</v>
      </c>
    </row>
    <row r="237" spans="1:7">
      <c r="A237" s="78" t="s">
        <v>205</v>
      </c>
      <c r="B237" s="103">
        <v>0.917580664773448</v>
      </c>
      <c r="C237" s="79">
        <f t="shared" si="3"/>
        <v>0.876238522984687</v>
      </c>
      <c r="D237" s="80">
        <v>0.489949775869908</v>
      </c>
      <c r="E237" s="80">
        <v>0.0939698655219449</v>
      </c>
      <c r="F237" s="81">
        <v>0.129007602781948</v>
      </c>
      <c r="G237" s="81">
        <v>0</v>
      </c>
    </row>
    <row r="238" spans="1:7">
      <c r="A238" s="78" t="s">
        <v>206</v>
      </c>
      <c r="B238" s="103">
        <v>0.978132682644815</v>
      </c>
      <c r="C238" s="79">
        <f t="shared" si="3"/>
        <v>0.917580664773448</v>
      </c>
      <c r="D238" s="80">
        <v>0.521524807391511</v>
      </c>
      <c r="E238" s="80">
        <v>0.112914884434907</v>
      </c>
      <c r="F238" s="81">
        <v>0.145783584988148</v>
      </c>
      <c r="G238" s="81">
        <v>0</v>
      </c>
    </row>
    <row r="239" spans="1:7">
      <c r="A239" s="78" t="s">
        <v>207</v>
      </c>
      <c r="B239" s="103">
        <v>1.0874007310972</v>
      </c>
      <c r="C239" s="79">
        <f t="shared" si="3"/>
        <v>0.978132682644815</v>
      </c>
      <c r="D239" s="80">
        <v>0.569604644965699</v>
      </c>
      <c r="E239" s="80">
        <v>0.14176278697942</v>
      </c>
      <c r="F239" s="81">
        <v>0.171328658444993</v>
      </c>
      <c r="G239" s="81">
        <v>0</v>
      </c>
    </row>
    <row r="240" spans="1:7">
      <c r="A240" s="78" t="s">
        <v>208</v>
      </c>
      <c r="B240" s="103">
        <v>1.15880917101046</v>
      </c>
      <c r="C240" s="79">
        <f t="shared" si="3"/>
        <v>1.0874007310972</v>
      </c>
      <c r="D240" s="80">
        <v>0.5961265793944</v>
      </c>
      <c r="E240" s="80">
        <v>0.15767594763664</v>
      </c>
      <c r="F240" s="81">
        <v>0.185419903286522</v>
      </c>
      <c r="G240" s="81">
        <v>0</v>
      </c>
    </row>
    <row r="241" spans="1:7">
      <c r="A241" s="78" t="s">
        <v>209</v>
      </c>
      <c r="B241" s="103">
        <v>1.2521896115413</v>
      </c>
      <c r="C241" s="79">
        <f t="shared" si="3"/>
        <v>1.15880917101046</v>
      </c>
      <c r="D241" s="80">
        <v>0.62624492376273</v>
      </c>
      <c r="E241" s="80">
        <v>0.175746954257638</v>
      </c>
      <c r="F241" s="81">
        <v>0.201421939859553</v>
      </c>
      <c r="G241" s="81">
        <v>0</v>
      </c>
    </row>
    <row r="242" spans="1:7">
      <c r="A242" s="78" t="s">
        <v>210</v>
      </c>
      <c r="B242" s="103">
        <v>1.32857180768505</v>
      </c>
      <c r="C242" s="79">
        <f t="shared" si="3"/>
        <v>1.2521896115413</v>
      </c>
      <c r="D242" s="80">
        <v>0.647732835351508</v>
      </c>
      <c r="E242" s="80">
        <v>0.188639701210905</v>
      </c>
      <c r="F242" s="81">
        <v>0.212838581588481</v>
      </c>
      <c r="G242" s="81">
        <v>0</v>
      </c>
    </row>
    <row r="243" spans="1:7">
      <c r="A243" s="78" t="s">
        <v>211</v>
      </c>
      <c r="B243" s="103">
        <v>1.43146172915009</v>
      </c>
      <c r="C243" s="79">
        <f t="shared" si="3"/>
        <v>1.32857180768505</v>
      </c>
      <c r="D243" s="80">
        <v>0.673052926114196</v>
      </c>
      <c r="E243" s="80">
        <v>0.203831755668518</v>
      </c>
      <c r="F243" s="81">
        <v>0.226291280497225</v>
      </c>
      <c r="G243" s="81">
        <v>0</v>
      </c>
    </row>
    <row r="244" spans="1:7">
      <c r="A244" s="78" t="s">
        <v>212</v>
      </c>
      <c r="B244" s="103">
        <v>1.54921747330773</v>
      </c>
      <c r="C244" s="79">
        <f t="shared" si="3"/>
        <v>1.43146172915009</v>
      </c>
      <c r="D244" s="80">
        <v>0.697904114955609</v>
      </c>
      <c r="E244" s="80">
        <v>0.218742468973365</v>
      </c>
      <c r="F244" s="81">
        <v>0.23949484932094</v>
      </c>
      <c r="G244" s="81">
        <v>0</v>
      </c>
    </row>
    <row r="245" spans="1:7">
      <c r="A245" s="78" t="s">
        <v>213</v>
      </c>
      <c r="B245" s="103">
        <v>1.63473506838059</v>
      </c>
      <c r="C245" s="79">
        <f t="shared" si="3"/>
        <v>1.54921747330773</v>
      </c>
      <c r="D245" s="80">
        <v>0.713707601447151</v>
      </c>
      <c r="E245" s="80">
        <v>0.22822456086829</v>
      </c>
      <c r="F245" s="81">
        <v>0.247891325758236</v>
      </c>
      <c r="G245" s="81">
        <v>0</v>
      </c>
    </row>
    <row r="246" spans="1:7">
      <c r="A246" s="78" t="s">
        <v>214</v>
      </c>
      <c r="B246" s="103">
        <v>1.78399951553742</v>
      </c>
      <c r="C246" s="79">
        <f t="shared" si="3"/>
        <v>1.63473506838059</v>
      </c>
      <c r="D246" s="80">
        <v>0.737661238330466</v>
      </c>
      <c r="E246" s="80">
        <v>0.242596742998279</v>
      </c>
      <c r="F246" s="81">
        <v>0.260618020452217</v>
      </c>
      <c r="G246" s="81">
        <v>0</v>
      </c>
    </row>
    <row r="247" spans="1:7">
      <c r="A247" s="78" t="s">
        <v>215</v>
      </c>
      <c r="B247" s="103">
        <v>1.95672460461479</v>
      </c>
      <c r="C247" s="79">
        <f t="shared" si="3"/>
        <v>1.78399951553742</v>
      </c>
      <c r="D247" s="80">
        <v>0.760818552277943</v>
      </c>
      <c r="E247" s="80">
        <v>0.256491131366766</v>
      </c>
      <c r="F247" s="81">
        <v>0.272921624534464</v>
      </c>
      <c r="G247" s="81">
        <v>0</v>
      </c>
    </row>
    <row r="248" spans="1:7">
      <c r="A248" s="78" t="s">
        <v>216</v>
      </c>
      <c r="B248" s="103">
        <v>2.21131839177007</v>
      </c>
      <c r="C248" s="79">
        <f t="shared" si="3"/>
        <v>1.95672460461479</v>
      </c>
      <c r="D248" s="80">
        <v>0.788356020794224</v>
      </c>
      <c r="E248" s="80">
        <v>0.273013612476534</v>
      </c>
      <c r="F248" s="81">
        <v>0.287552428038709</v>
      </c>
      <c r="G248" s="81">
        <v>0</v>
      </c>
    </row>
    <row r="249" spans="1:7">
      <c r="A249" s="78" t="s">
        <v>217</v>
      </c>
      <c r="B249" s="103">
        <v>2.47555199815632</v>
      </c>
      <c r="C249" s="79">
        <f t="shared" si="3"/>
        <v>2.21131839177007</v>
      </c>
      <c r="D249" s="80">
        <v>0.810946316589718</v>
      </c>
      <c r="E249" s="80">
        <v>0.286567789953831</v>
      </c>
      <c r="F249" s="81">
        <v>0.299554772360637</v>
      </c>
      <c r="G249" s="81">
        <v>0</v>
      </c>
    </row>
    <row r="250" spans="1:7">
      <c r="A250" s="78" t="s">
        <v>218</v>
      </c>
      <c r="B250" s="103">
        <v>2.87327564723408</v>
      </c>
      <c r="C250" s="79">
        <f t="shared" si="3"/>
        <v>2.47555199815632</v>
      </c>
      <c r="D250" s="80">
        <v>0.837115445510541</v>
      </c>
      <c r="E250" s="80">
        <v>0.302269267306324</v>
      </c>
      <c r="F250" s="81">
        <v>0.313458569759133</v>
      </c>
      <c r="G250" s="81">
        <v>0</v>
      </c>
    </row>
    <row r="251" spans="1:7">
      <c r="A251" s="78" t="s">
        <v>219</v>
      </c>
      <c r="B251" s="103">
        <v>3.7419703394087</v>
      </c>
      <c r="C251" s="79">
        <f t="shared" si="3"/>
        <v>2.87327564723408</v>
      </c>
      <c r="D251" s="80">
        <v>0.87492893281482</v>
      </c>
      <c r="E251" s="80">
        <v>0.324957359688892</v>
      </c>
      <c r="F251" s="81">
        <v>0.333549076707224</v>
      </c>
      <c r="G251" s="81">
        <v>0.0230351996735739</v>
      </c>
    </row>
    <row r="252" spans="1:7">
      <c r="A252" s="78" t="s">
        <v>220</v>
      </c>
      <c r="B252" s="103">
        <v>4.56110352627789</v>
      </c>
      <c r="C252" s="79">
        <f t="shared" si="3"/>
        <v>3.7419703394087</v>
      </c>
      <c r="D252" s="80">
        <v>0.897390572033988</v>
      </c>
      <c r="E252" s="80">
        <v>0.338434343220393</v>
      </c>
      <c r="F252" s="81">
        <v>0.34548306510578</v>
      </c>
      <c r="G252" s="81">
        <v>0.0368573858627095</v>
      </c>
    </row>
    <row r="253" spans="1:7">
      <c r="A253" s="78" t="s">
        <v>221</v>
      </c>
      <c r="B253" s="314">
        <v>9.37568767811958</v>
      </c>
      <c r="C253" s="79">
        <f t="shared" si="3"/>
        <v>4.56110352627789</v>
      </c>
      <c r="D253" s="80">
        <v>0.950082357711493</v>
      </c>
      <c r="E253" s="80">
        <v>0.370049414626896</v>
      </c>
      <c r="F253" s="81">
        <v>0.373478491122503</v>
      </c>
      <c r="G253" s="81">
        <v>0.215693519310301</v>
      </c>
    </row>
    <row r="254" spans="1:7">
      <c r="A254" s="78" t="s">
        <v>221</v>
      </c>
      <c r="B254" s="78" t="s">
        <v>353</v>
      </c>
      <c r="C254" s="79">
        <f t="shared" si="3"/>
        <v>9.37568767811958</v>
      </c>
      <c r="D254" s="117"/>
      <c r="E254" s="83"/>
      <c r="F254" s="84"/>
      <c r="G254" s="84"/>
    </row>
    <row r="255" spans="1:7">
      <c r="A255" s="78"/>
      <c r="B255" s="78">
        <v>5.4</v>
      </c>
      <c r="C255" s="78"/>
      <c r="D255" s="117"/>
      <c r="E255" s="85">
        <v>0.0866646680111695</v>
      </c>
      <c r="F255" s="86">
        <v>0.0985048741859278</v>
      </c>
      <c r="G255" s="86">
        <v>0.00551172209693168</v>
      </c>
    </row>
    <row r="256" ht="48" spans="1:7">
      <c r="A256" s="87" t="s">
        <v>233</v>
      </c>
      <c r="B256" s="78">
        <v>4.8</v>
      </c>
      <c r="C256" s="78"/>
      <c r="D256" s="117"/>
      <c r="E256" s="127">
        <v>0.780020372875227</v>
      </c>
      <c r="F256" s="128">
        <v>0.690714955521919</v>
      </c>
      <c r="G256" s="129">
        <v>4.8</v>
      </c>
    </row>
    <row r="257" ht="48" spans="1:7">
      <c r="A257" s="87" t="s">
        <v>224</v>
      </c>
      <c r="B257" s="78">
        <v>1.08</v>
      </c>
      <c r="C257" s="78"/>
      <c r="D257" s="83"/>
      <c r="E257" s="83"/>
      <c r="F257" s="84"/>
      <c r="G257" s="84"/>
    </row>
    <row r="258" ht="84" spans="1:7">
      <c r="A258" s="106" t="s">
        <v>225</v>
      </c>
      <c r="B258" s="78">
        <v>2.88</v>
      </c>
      <c r="C258" s="78"/>
      <c r="D258" s="83"/>
      <c r="E258" s="83">
        <v>0.468012223725136</v>
      </c>
      <c r="F258" s="84">
        <v>0.414428973313151</v>
      </c>
      <c r="G258" s="84">
        <v>2.88</v>
      </c>
    </row>
    <row r="261" spans="1:3">
      <c r="A261" s="531" t="s">
        <v>226</v>
      </c>
      <c r="B261" s="95">
        <f>AVERAGE(B209:B248)</f>
        <v>0.780020372875227</v>
      </c>
      <c r="C261" s="95"/>
    </row>
    <row r="262" spans="1:3">
      <c r="A262" s="531" t="s">
        <v>227</v>
      </c>
      <c r="B262" s="96">
        <f>AVERAGE(B214:B243)</f>
        <v>0.690714955521919</v>
      </c>
      <c r="C262" s="96"/>
    </row>
    <row r="263" spans="1:3">
      <c r="A263" s="531" t="s">
        <v>228</v>
      </c>
      <c r="B263" s="96">
        <f>AVERAGE(B220:B238)</f>
        <v>0.648005437290992</v>
      </c>
      <c r="C263" s="96"/>
    </row>
    <row r="267" ht="15.75" spans="3:3">
      <c r="C267" s="130"/>
    </row>
    <row r="270" spans="3:3">
      <c r="C270">
        <v>0</v>
      </c>
    </row>
    <row r="271" spans="3:3">
      <c r="C271" s="79">
        <f>B270</f>
        <v>0</v>
      </c>
    </row>
    <row r="272" spans="3:3">
      <c r="C272" s="79">
        <f t="shared" ref="C272:C320" si="4">B271</f>
        <v>0</v>
      </c>
    </row>
    <row r="273" spans="3:3">
      <c r="C273" s="79">
        <f t="shared" si="4"/>
        <v>0</v>
      </c>
    </row>
    <row r="274" spans="3:3">
      <c r="C274" s="79">
        <f t="shared" si="4"/>
        <v>0</v>
      </c>
    </row>
    <row r="275" spans="3:3">
      <c r="C275" s="79">
        <f t="shared" si="4"/>
        <v>0</v>
      </c>
    </row>
    <row r="276" spans="3:3">
      <c r="C276" s="79">
        <f t="shared" si="4"/>
        <v>0</v>
      </c>
    </row>
    <row r="277" spans="3:3">
      <c r="C277" s="79">
        <f t="shared" si="4"/>
        <v>0</v>
      </c>
    </row>
    <row r="278" spans="3:3">
      <c r="C278" s="79">
        <f t="shared" si="4"/>
        <v>0</v>
      </c>
    </row>
    <row r="279" spans="3:3">
      <c r="C279" s="79">
        <f t="shared" si="4"/>
        <v>0</v>
      </c>
    </row>
    <row r="280" spans="3:3">
      <c r="C280" s="79">
        <f t="shared" si="4"/>
        <v>0</v>
      </c>
    </row>
    <row r="281" spans="3:3">
      <c r="C281" s="79">
        <f t="shared" si="4"/>
        <v>0</v>
      </c>
    </row>
    <row r="282" spans="3:3">
      <c r="C282" s="79">
        <f t="shared" si="4"/>
        <v>0</v>
      </c>
    </row>
    <row r="283" spans="3:3">
      <c r="C283" s="79">
        <f t="shared" si="4"/>
        <v>0</v>
      </c>
    </row>
    <row r="284" spans="3:3">
      <c r="C284" s="79">
        <f t="shared" si="4"/>
        <v>0</v>
      </c>
    </row>
    <row r="285" spans="3:3">
      <c r="C285" s="79">
        <f t="shared" si="4"/>
        <v>0</v>
      </c>
    </row>
    <row r="286" spans="3:3">
      <c r="C286" s="79">
        <f t="shared" si="4"/>
        <v>0</v>
      </c>
    </row>
    <row r="287" spans="3:3">
      <c r="C287" s="79">
        <f t="shared" si="4"/>
        <v>0</v>
      </c>
    </row>
    <row r="288" spans="3:3">
      <c r="C288" s="79">
        <f t="shared" si="4"/>
        <v>0</v>
      </c>
    </row>
    <row r="289" spans="3:3">
      <c r="C289" s="79">
        <f t="shared" si="4"/>
        <v>0</v>
      </c>
    </row>
    <row r="290" spans="3:3">
      <c r="C290" s="79">
        <f t="shared" si="4"/>
        <v>0</v>
      </c>
    </row>
    <row r="291" spans="3:3">
      <c r="C291" s="79">
        <f t="shared" si="4"/>
        <v>0</v>
      </c>
    </row>
    <row r="292" spans="3:3">
      <c r="C292" s="79">
        <f t="shared" si="4"/>
        <v>0</v>
      </c>
    </row>
    <row r="293" spans="3:3">
      <c r="C293" s="79">
        <f t="shared" si="4"/>
        <v>0</v>
      </c>
    </row>
    <row r="294" spans="3:3">
      <c r="C294" s="79">
        <f t="shared" si="4"/>
        <v>0</v>
      </c>
    </row>
    <row r="295" spans="3:3">
      <c r="C295" s="79">
        <f t="shared" si="4"/>
        <v>0</v>
      </c>
    </row>
    <row r="296" spans="3:3">
      <c r="C296" s="79">
        <f t="shared" si="4"/>
        <v>0</v>
      </c>
    </row>
    <row r="297" spans="3:3">
      <c r="C297" s="79">
        <f t="shared" si="4"/>
        <v>0</v>
      </c>
    </row>
    <row r="298" spans="3:3">
      <c r="C298" s="79">
        <f t="shared" si="4"/>
        <v>0</v>
      </c>
    </row>
    <row r="299" spans="3:3">
      <c r="C299" s="79">
        <f t="shared" si="4"/>
        <v>0</v>
      </c>
    </row>
    <row r="300" spans="3:3">
      <c r="C300" s="79">
        <f t="shared" si="4"/>
        <v>0</v>
      </c>
    </row>
    <row r="301" spans="3:3">
      <c r="C301" s="79">
        <f t="shared" si="4"/>
        <v>0</v>
      </c>
    </row>
    <row r="302" spans="3:3">
      <c r="C302" s="79">
        <f t="shared" si="4"/>
        <v>0</v>
      </c>
    </row>
    <row r="303" spans="3:3">
      <c r="C303" s="79">
        <f t="shared" si="4"/>
        <v>0</v>
      </c>
    </row>
    <row r="304" spans="3:3">
      <c r="C304" s="79">
        <f t="shared" si="4"/>
        <v>0</v>
      </c>
    </row>
    <row r="305" spans="3:3">
      <c r="C305" s="79">
        <f t="shared" si="4"/>
        <v>0</v>
      </c>
    </row>
    <row r="306" spans="3:3">
      <c r="C306" s="79">
        <f t="shared" si="4"/>
        <v>0</v>
      </c>
    </row>
    <row r="307" spans="3:3">
      <c r="C307" s="79">
        <f t="shared" si="4"/>
        <v>0</v>
      </c>
    </row>
    <row r="308" spans="3:3">
      <c r="C308" s="79">
        <f t="shared" si="4"/>
        <v>0</v>
      </c>
    </row>
    <row r="309" spans="3:3">
      <c r="C309" s="79">
        <f t="shared" si="4"/>
        <v>0</v>
      </c>
    </row>
    <row r="310" spans="3:3">
      <c r="C310" s="79">
        <f t="shared" si="4"/>
        <v>0</v>
      </c>
    </row>
    <row r="311" spans="3:3">
      <c r="C311" s="79">
        <f t="shared" si="4"/>
        <v>0</v>
      </c>
    </row>
    <row r="312" spans="3:3">
      <c r="C312" s="79">
        <f t="shared" si="4"/>
        <v>0</v>
      </c>
    </row>
    <row r="313" spans="3:3">
      <c r="C313" s="79">
        <f t="shared" si="4"/>
        <v>0</v>
      </c>
    </row>
    <row r="314" spans="3:3">
      <c r="C314" s="79">
        <f t="shared" si="4"/>
        <v>0</v>
      </c>
    </row>
    <row r="315" spans="3:3">
      <c r="C315" s="79">
        <f t="shared" si="4"/>
        <v>0</v>
      </c>
    </row>
    <row r="316" spans="3:3">
      <c r="C316" s="79">
        <f t="shared" si="4"/>
        <v>0</v>
      </c>
    </row>
    <row r="317" spans="3:3">
      <c r="C317" s="79">
        <f t="shared" si="4"/>
        <v>0</v>
      </c>
    </row>
    <row r="318" spans="3:3">
      <c r="C318" s="79">
        <f t="shared" si="4"/>
        <v>0</v>
      </c>
    </row>
    <row r="319" spans="3:3">
      <c r="C319" s="79">
        <f t="shared" si="4"/>
        <v>0</v>
      </c>
    </row>
    <row r="320" spans="3:3">
      <c r="C320" s="79">
        <f t="shared" si="4"/>
        <v>0</v>
      </c>
    </row>
    <row r="336" ht="15.75" spans="3:3">
      <c r="C336" s="131"/>
    </row>
    <row r="337" spans="3:3">
      <c r="C337">
        <v>0</v>
      </c>
    </row>
    <row r="338" spans="3:3">
      <c r="C338" s="79">
        <f>B337</f>
        <v>0</v>
      </c>
    </row>
    <row r="339" spans="3:3">
      <c r="C339" s="79">
        <f t="shared" ref="C339:C387" si="5">B338</f>
        <v>0</v>
      </c>
    </row>
    <row r="340" spans="3:3">
      <c r="C340" s="79">
        <f t="shared" si="5"/>
        <v>0</v>
      </c>
    </row>
    <row r="341" spans="3:3">
      <c r="C341" s="79">
        <f t="shared" si="5"/>
        <v>0</v>
      </c>
    </row>
    <row r="342" spans="3:3">
      <c r="C342" s="79">
        <f t="shared" si="5"/>
        <v>0</v>
      </c>
    </row>
    <row r="343" spans="3:3">
      <c r="C343" s="79">
        <f t="shared" si="5"/>
        <v>0</v>
      </c>
    </row>
    <row r="344" spans="3:3">
      <c r="C344" s="79">
        <f t="shared" si="5"/>
        <v>0</v>
      </c>
    </row>
    <row r="345" spans="3:3">
      <c r="C345" s="79">
        <f t="shared" si="5"/>
        <v>0</v>
      </c>
    </row>
    <row r="346" spans="3:3">
      <c r="C346" s="79">
        <f t="shared" si="5"/>
        <v>0</v>
      </c>
    </row>
    <row r="347" spans="3:3">
      <c r="C347" s="79">
        <f t="shared" si="5"/>
        <v>0</v>
      </c>
    </row>
    <row r="348" spans="3:3">
      <c r="C348" s="79">
        <f t="shared" si="5"/>
        <v>0</v>
      </c>
    </row>
    <row r="349" spans="3:3">
      <c r="C349" s="79">
        <f t="shared" si="5"/>
        <v>0</v>
      </c>
    </row>
    <row r="350" spans="3:3">
      <c r="C350" s="79">
        <f t="shared" si="5"/>
        <v>0</v>
      </c>
    </row>
    <row r="351" spans="3:3">
      <c r="C351" s="79">
        <f t="shared" si="5"/>
        <v>0</v>
      </c>
    </row>
    <row r="352" spans="3:3">
      <c r="C352" s="79">
        <f t="shared" si="5"/>
        <v>0</v>
      </c>
    </row>
    <row r="353" spans="3:3">
      <c r="C353" s="79">
        <f t="shared" si="5"/>
        <v>0</v>
      </c>
    </row>
    <row r="354" spans="3:3">
      <c r="C354" s="79">
        <f t="shared" si="5"/>
        <v>0</v>
      </c>
    </row>
    <row r="355" spans="3:3">
      <c r="C355" s="79">
        <f t="shared" si="5"/>
        <v>0</v>
      </c>
    </row>
    <row r="356" spans="3:3">
      <c r="C356" s="79">
        <f t="shared" si="5"/>
        <v>0</v>
      </c>
    </row>
    <row r="357" spans="3:3">
      <c r="C357" s="79">
        <f t="shared" si="5"/>
        <v>0</v>
      </c>
    </row>
    <row r="358" spans="3:3">
      <c r="C358" s="79">
        <f t="shared" si="5"/>
        <v>0</v>
      </c>
    </row>
    <row r="359" spans="3:3">
      <c r="C359" s="79">
        <f t="shared" si="5"/>
        <v>0</v>
      </c>
    </row>
    <row r="360" spans="3:3">
      <c r="C360" s="79">
        <f t="shared" si="5"/>
        <v>0</v>
      </c>
    </row>
    <row r="361" spans="3:3">
      <c r="C361" s="79">
        <f t="shared" si="5"/>
        <v>0</v>
      </c>
    </row>
    <row r="362" spans="3:3">
      <c r="C362" s="79">
        <f t="shared" si="5"/>
        <v>0</v>
      </c>
    </row>
    <row r="363" spans="3:3">
      <c r="C363" s="79">
        <f t="shared" si="5"/>
        <v>0</v>
      </c>
    </row>
    <row r="364" spans="3:3">
      <c r="C364" s="79">
        <f t="shared" si="5"/>
        <v>0</v>
      </c>
    </row>
    <row r="365" spans="3:3">
      <c r="C365" s="79">
        <f t="shared" si="5"/>
        <v>0</v>
      </c>
    </row>
    <row r="366" spans="3:3">
      <c r="C366" s="79">
        <f t="shared" si="5"/>
        <v>0</v>
      </c>
    </row>
    <row r="367" spans="3:3">
      <c r="C367" s="79">
        <f t="shared" si="5"/>
        <v>0</v>
      </c>
    </row>
    <row r="368" spans="3:3">
      <c r="C368" s="79">
        <f t="shared" si="5"/>
        <v>0</v>
      </c>
    </row>
    <row r="369" spans="3:3">
      <c r="C369" s="79">
        <f t="shared" si="5"/>
        <v>0</v>
      </c>
    </row>
    <row r="370" spans="3:3">
      <c r="C370" s="79">
        <f t="shared" si="5"/>
        <v>0</v>
      </c>
    </row>
    <row r="371" spans="3:3">
      <c r="C371" s="79">
        <f t="shared" si="5"/>
        <v>0</v>
      </c>
    </row>
    <row r="372" spans="3:3">
      <c r="C372" s="79">
        <f t="shared" si="5"/>
        <v>0</v>
      </c>
    </row>
    <row r="373" spans="3:3">
      <c r="C373" s="79">
        <f t="shared" si="5"/>
        <v>0</v>
      </c>
    </row>
    <row r="374" spans="3:3">
      <c r="C374" s="79">
        <f t="shared" si="5"/>
        <v>0</v>
      </c>
    </row>
    <row r="375" spans="3:3">
      <c r="C375" s="79">
        <f t="shared" si="5"/>
        <v>0</v>
      </c>
    </row>
    <row r="376" spans="3:3">
      <c r="C376" s="79">
        <f t="shared" si="5"/>
        <v>0</v>
      </c>
    </row>
    <row r="377" spans="3:3">
      <c r="C377" s="79">
        <f t="shared" si="5"/>
        <v>0</v>
      </c>
    </row>
    <row r="378" spans="3:3">
      <c r="C378" s="79">
        <f t="shared" si="5"/>
        <v>0</v>
      </c>
    </row>
    <row r="379" spans="3:3">
      <c r="C379" s="79">
        <f t="shared" si="5"/>
        <v>0</v>
      </c>
    </row>
    <row r="380" spans="3:3">
      <c r="C380" s="79">
        <f t="shared" si="5"/>
        <v>0</v>
      </c>
    </row>
    <row r="381" spans="3:3">
      <c r="C381" s="79">
        <f t="shared" si="5"/>
        <v>0</v>
      </c>
    </row>
    <row r="382" spans="3:3">
      <c r="C382" s="79">
        <f t="shared" si="5"/>
        <v>0</v>
      </c>
    </row>
    <row r="383" spans="3:3">
      <c r="C383" s="79">
        <f t="shared" si="5"/>
        <v>0</v>
      </c>
    </row>
    <row r="384" spans="3:3">
      <c r="C384" s="79">
        <f t="shared" si="5"/>
        <v>0</v>
      </c>
    </row>
    <row r="385" spans="3:3">
      <c r="C385" s="79">
        <f t="shared" si="5"/>
        <v>0</v>
      </c>
    </row>
    <row r="386" spans="3:3">
      <c r="C386" s="79">
        <f t="shared" si="5"/>
        <v>0</v>
      </c>
    </row>
    <row r="387" spans="3:3">
      <c r="C387" s="79">
        <f t="shared" si="5"/>
        <v>0</v>
      </c>
    </row>
    <row r="402" spans="3:3">
      <c r="C402">
        <v>0</v>
      </c>
    </row>
    <row r="403" spans="3:3">
      <c r="C403" s="79">
        <f>B402</f>
        <v>0</v>
      </c>
    </row>
    <row r="404" spans="3:3">
      <c r="C404" s="79">
        <f t="shared" ref="C404:C452" si="6">B403</f>
        <v>0</v>
      </c>
    </row>
    <row r="405" spans="3:3">
      <c r="C405" s="79">
        <f t="shared" si="6"/>
        <v>0</v>
      </c>
    </row>
    <row r="406" spans="3:3">
      <c r="C406" s="79">
        <f t="shared" si="6"/>
        <v>0</v>
      </c>
    </row>
    <row r="407" spans="3:3">
      <c r="C407" s="79">
        <f t="shared" si="6"/>
        <v>0</v>
      </c>
    </row>
    <row r="408" spans="3:3">
      <c r="C408" s="79">
        <f t="shared" si="6"/>
        <v>0</v>
      </c>
    </row>
    <row r="409" spans="3:3">
      <c r="C409" s="79">
        <f t="shared" si="6"/>
        <v>0</v>
      </c>
    </row>
    <row r="410" spans="3:3">
      <c r="C410" s="79">
        <f t="shared" si="6"/>
        <v>0</v>
      </c>
    </row>
    <row r="411" spans="3:3">
      <c r="C411" s="79">
        <f t="shared" si="6"/>
        <v>0</v>
      </c>
    </row>
    <row r="412" spans="3:3">
      <c r="C412" s="79">
        <f t="shared" si="6"/>
        <v>0</v>
      </c>
    </row>
    <row r="413" spans="3:3">
      <c r="C413" s="79">
        <f t="shared" si="6"/>
        <v>0</v>
      </c>
    </row>
    <row r="414" spans="3:3">
      <c r="C414" s="79">
        <f t="shared" si="6"/>
        <v>0</v>
      </c>
    </row>
    <row r="415" spans="3:3">
      <c r="C415" s="79">
        <f t="shared" si="6"/>
        <v>0</v>
      </c>
    </row>
    <row r="416" spans="3:3">
      <c r="C416" s="79">
        <f t="shared" si="6"/>
        <v>0</v>
      </c>
    </row>
    <row r="417" spans="3:3">
      <c r="C417" s="79">
        <f t="shared" si="6"/>
        <v>0</v>
      </c>
    </row>
    <row r="418" spans="3:3">
      <c r="C418" s="79">
        <f t="shared" si="6"/>
        <v>0</v>
      </c>
    </row>
    <row r="419" spans="3:3">
      <c r="C419" s="79">
        <f t="shared" si="6"/>
        <v>0</v>
      </c>
    </row>
    <row r="420" spans="3:3">
      <c r="C420" s="79">
        <f t="shared" si="6"/>
        <v>0</v>
      </c>
    </row>
    <row r="421" spans="3:3">
      <c r="C421" s="79">
        <f t="shared" si="6"/>
        <v>0</v>
      </c>
    </row>
    <row r="422" spans="3:3">
      <c r="C422" s="79">
        <f t="shared" si="6"/>
        <v>0</v>
      </c>
    </row>
    <row r="423" spans="3:3">
      <c r="C423" s="79">
        <f t="shared" si="6"/>
        <v>0</v>
      </c>
    </row>
    <row r="424" spans="3:3">
      <c r="C424" s="79">
        <f t="shared" si="6"/>
        <v>0</v>
      </c>
    </row>
    <row r="425" spans="3:3">
      <c r="C425" s="79">
        <f t="shared" si="6"/>
        <v>0</v>
      </c>
    </row>
    <row r="426" spans="3:3">
      <c r="C426" s="79">
        <f t="shared" si="6"/>
        <v>0</v>
      </c>
    </row>
    <row r="427" spans="3:3">
      <c r="C427" s="79">
        <f t="shared" si="6"/>
        <v>0</v>
      </c>
    </row>
    <row r="428" spans="3:3">
      <c r="C428" s="79">
        <f t="shared" si="6"/>
        <v>0</v>
      </c>
    </row>
    <row r="429" spans="3:3">
      <c r="C429" s="79">
        <f t="shared" si="6"/>
        <v>0</v>
      </c>
    </row>
    <row r="430" spans="3:3">
      <c r="C430" s="79">
        <f t="shared" si="6"/>
        <v>0</v>
      </c>
    </row>
    <row r="431" spans="3:3">
      <c r="C431" s="79">
        <f t="shared" si="6"/>
        <v>0</v>
      </c>
    </row>
    <row r="432" spans="3:3">
      <c r="C432" s="79">
        <f t="shared" si="6"/>
        <v>0</v>
      </c>
    </row>
    <row r="433" spans="3:3">
      <c r="C433" s="79">
        <f t="shared" si="6"/>
        <v>0</v>
      </c>
    </row>
    <row r="434" spans="3:3">
      <c r="C434" s="79">
        <f t="shared" si="6"/>
        <v>0</v>
      </c>
    </row>
    <row r="435" spans="3:3">
      <c r="C435" s="79">
        <f t="shared" si="6"/>
        <v>0</v>
      </c>
    </row>
    <row r="436" spans="3:3">
      <c r="C436" s="79">
        <f t="shared" si="6"/>
        <v>0</v>
      </c>
    </row>
    <row r="437" spans="3:3">
      <c r="C437" s="79">
        <f t="shared" si="6"/>
        <v>0</v>
      </c>
    </row>
    <row r="438" spans="3:3">
      <c r="C438" s="79">
        <f t="shared" si="6"/>
        <v>0</v>
      </c>
    </row>
    <row r="439" spans="3:3">
      <c r="C439" s="79">
        <f t="shared" si="6"/>
        <v>0</v>
      </c>
    </row>
    <row r="440" spans="3:3">
      <c r="C440" s="79">
        <f t="shared" si="6"/>
        <v>0</v>
      </c>
    </row>
    <row r="441" spans="3:3">
      <c r="C441" s="79">
        <f t="shared" si="6"/>
        <v>0</v>
      </c>
    </row>
    <row r="442" spans="3:3">
      <c r="C442" s="79">
        <f t="shared" si="6"/>
        <v>0</v>
      </c>
    </row>
    <row r="443" spans="3:3">
      <c r="C443" s="79">
        <f t="shared" si="6"/>
        <v>0</v>
      </c>
    </row>
    <row r="444" spans="3:3">
      <c r="C444" s="79">
        <f t="shared" si="6"/>
        <v>0</v>
      </c>
    </row>
    <row r="445" spans="3:3">
      <c r="C445" s="79">
        <f t="shared" si="6"/>
        <v>0</v>
      </c>
    </row>
    <row r="446" spans="3:3">
      <c r="C446" s="79">
        <f t="shared" si="6"/>
        <v>0</v>
      </c>
    </row>
    <row r="447" spans="3:3">
      <c r="C447" s="79">
        <f t="shared" si="6"/>
        <v>0</v>
      </c>
    </row>
    <row r="448" spans="3:3">
      <c r="C448" s="79">
        <f t="shared" si="6"/>
        <v>0</v>
      </c>
    </row>
    <row r="449" spans="3:3">
      <c r="C449" s="79">
        <f t="shared" si="6"/>
        <v>0</v>
      </c>
    </row>
    <row r="450" spans="3:3">
      <c r="C450" s="79">
        <f t="shared" si="6"/>
        <v>0</v>
      </c>
    </row>
    <row r="451" spans="3:3">
      <c r="C451" s="79">
        <f t="shared" si="6"/>
        <v>0</v>
      </c>
    </row>
    <row r="452" spans="3:3">
      <c r="C452" s="79">
        <f t="shared" si="6"/>
        <v>0</v>
      </c>
    </row>
  </sheetData>
  <mergeCells count="8">
    <mergeCell ref="B2:D2"/>
    <mergeCell ref="B69:D69"/>
    <mergeCell ref="B134:D134"/>
    <mergeCell ref="B200:D200"/>
    <mergeCell ref="A2:A4"/>
    <mergeCell ref="A69:A71"/>
    <mergeCell ref="A134:A136"/>
    <mergeCell ref="A200:A202"/>
  </mergeCells>
  <pageMargins left="0.7" right="0.7" top="0.75" bottom="0.75" header="0.3" footer="0.3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Лист5">
    <tabColor rgb="FF92D050"/>
  </sheetPr>
  <dimension ref="A1:G452"/>
  <sheetViews>
    <sheetView topLeftCell="A313" workbookViewId="0">
      <selection activeCell="E218" sqref="E218:H223"/>
    </sheetView>
  </sheetViews>
  <sheetFormatPr defaultColWidth="8.72380952380952" defaultRowHeight="15" outlineLevelCol="6"/>
  <cols>
    <col min="3" max="3" width="9.18095238095238"/>
    <col min="5" max="5" width="9.45714285714286" customWidth="1"/>
    <col min="6" max="6" width="8.72380952380952" style="64"/>
    <col min="7" max="7" width="9.45714285714286" style="64" customWidth="1"/>
  </cols>
  <sheetData>
    <row r="1" ht="15.75" spans="4:5">
      <c r="D1" s="65">
        <v>0.1</v>
      </c>
      <c r="E1" s="65">
        <v>0.4</v>
      </c>
    </row>
    <row r="2" ht="23.25" customHeight="1" spans="1:7">
      <c r="A2" s="252" t="s">
        <v>165</v>
      </c>
      <c r="B2" s="67" t="s">
        <v>166</v>
      </c>
      <c r="C2" s="68"/>
      <c r="D2" s="69"/>
      <c r="E2" s="70">
        <f>(1-E57)^(1/3)-1</f>
        <v>-0.0269802389758422</v>
      </c>
      <c r="F2" s="70">
        <f>(1-F57)^(1/3)-1</f>
        <v>-0.029516228921493</v>
      </c>
      <c r="G2" s="70"/>
    </row>
    <row r="3" ht="72.75" spans="1:7">
      <c r="A3" s="253"/>
      <c r="B3" s="72" t="s">
        <v>167</v>
      </c>
      <c r="C3" s="72"/>
      <c r="D3" s="72" t="s">
        <v>168</v>
      </c>
      <c r="E3" s="72" t="s">
        <v>169</v>
      </c>
      <c r="F3" s="73" t="s">
        <v>169</v>
      </c>
      <c r="G3" s="73"/>
    </row>
    <row r="4" ht="16.5" customHeight="1" spans="1:7">
      <c r="A4" s="254"/>
      <c r="B4" s="72" t="s">
        <v>170</v>
      </c>
      <c r="C4" s="72"/>
      <c r="D4" s="72" t="s">
        <v>171</v>
      </c>
      <c r="E4" s="72" t="s">
        <v>171</v>
      </c>
      <c r="F4" s="73" t="s">
        <v>171</v>
      </c>
      <c r="G4" s="73"/>
    </row>
    <row r="5" ht="15.75" spans="1:7">
      <c r="A5" s="75">
        <v>1</v>
      </c>
      <c r="B5" s="76">
        <v>2</v>
      </c>
      <c r="C5" s="76"/>
      <c r="D5" s="76">
        <v>3</v>
      </c>
      <c r="E5" s="76">
        <v>4</v>
      </c>
      <c r="F5" s="77">
        <v>5</v>
      </c>
      <c r="G5" s="77"/>
    </row>
    <row r="6" spans="1:7">
      <c r="A6" s="530" t="s">
        <v>172</v>
      </c>
      <c r="B6" s="173">
        <v>3.55186732214775</v>
      </c>
      <c r="C6" s="79">
        <v>0</v>
      </c>
      <c r="D6" s="80">
        <v>0</v>
      </c>
      <c r="E6" s="80">
        <v>0</v>
      </c>
      <c r="F6" s="81">
        <v>0</v>
      </c>
      <c r="G6" s="81">
        <v>0</v>
      </c>
    </row>
    <row r="7" spans="1:7">
      <c r="A7" s="530" t="s">
        <v>173</v>
      </c>
      <c r="B7" s="178">
        <v>5.05392329466116</v>
      </c>
      <c r="C7" s="79">
        <f>B6</f>
        <v>3.55186732214775</v>
      </c>
      <c r="D7" s="80">
        <v>0</v>
      </c>
      <c r="E7" s="80">
        <v>0</v>
      </c>
      <c r="F7" s="81">
        <v>0</v>
      </c>
      <c r="G7" s="81">
        <v>0</v>
      </c>
    </row>
    <row r="8" spans="1:7">
      <c r="A8" s="530" t="s">
        <v>174</v>
      </c>
      <c r="B8" s="178">
        <v>5.92915383579181</v>
      </c>
      <c r="C8" s="79">
        <f t="shared" ref="C8:C56" si="0">B7</f>
        <v>5.05392329466116</v>
      </c>
      <c r="D8" s="80">
        <v>0</v>
      </c>
      <c r="E8" s="80">
        <v>0</v>
      </c>
      <c r="F8" s="81">
        <v>0</v>
      </c>
      <c r="G8" s="81">
        <v>0</v>
      </c>
    </row>
    <row r="9" spans="1:7">
      <c r="A9" s="530" t="s">
        <v>175</v>
      </c>
      <c r="B9" s="178">
        <v>6.44334522891204</v>
      </c>
      <c r="C9" s="79">
        <f t="shared" si="0"/>
        <v>5.92915383579181</v>
      </c>
      <c r="D9" s="80">
        <v>0</v>
      </c>
      <c r="E9" s="80">
        <v>0</v>
      </c>
      <c r="F9" s="81">
        <v>0</v>
      </c>
      <c r="G9" s="81">
        <v>0.00688066855276816</v>
      </c>
    </row>
    <row r="10" spans="1:7">
      <c r="A10" s="530" t="s">
        <v>176</v>
      </c>
      <c r="B10" s="178">
        <v>6.99567666129638</v>
      </c>
      <c r="C10" s="79">
        <f t="shared" si="0"/>
        <v>6.44334522891204</v>
      </c>
      <c r="D10" s="80">
        <v>0</v>
      </c>
      <c r="E10" s="80">
        <v>0</v>
      </c>
      <c r="F10" s="81">
        <v>0</v>
      </c>
      <c r="G10" s="81">
        <v>0.014232742728162</v>
      </c>
    </row>
    <row r="11" spans="1:7">
      <c r="A11" s="530" t="s">
        <v>177</v>
      </c>
      <c r="B11" s="178">
        <v>7.69617833428829</v>
      </c>
      <c r="C11" s="79">
        <f t="shared" si="0"/>
        <v>6.99567666129638</v>
      </c>
      <c r="D11" s="80">
        <v>0</v>
      </c>
      <c r="E11" s="80">
        <v>0</v>
      </c>
      <c r="F11" s="81">
        <v>0</v>
      </c>
      <c r="G11" s="81">
        <v>0.0220392285705156</v>
      </c>
    </row>
    <row r="12" spans="1:7">
      <c r="A12" s="530" t="s">
        <v>178</v>
      </c>
      <c r="B12" s="178">
        <v>8.44678093981082</v>
      </c>
      <c r="C12" s="79">
        <f t="shared" si="0"/>
        <v>7.69617833428829</v>
      </c>
      <c r="D12" s="80">
        <v>0</v>
      </c>
      <c r="E12" s="80">
        <v>0</v>
      </c>
      <c r="F12" s="81">
        <v>0</v>
      </c>
      <c r="G12" s="81">
        <v>0.0289670225526841</v>
      </c>
    </row>
    <row r="13" spans="1:7">
      <c r="A13" s="78" t="s">
        <v>179</v>
      </c>
      <c r="B13" s="178">
        <v>8.91503911593599</v>
      </c>
      <c r="C13" s="79">
        <f t="shared" si="0"/>
        <v>8.44678093981082</v>
      </c>
      <c r="D13" s="80">
        <v>0</v>
      </c>
      <c r="E13" s="80">
        <v>0</v>
      </c>
      <c r="F13" s="81">
        <v>0</v>
      </c>
      <c r="G13" s="81">
        <v>0.0326979958026795</v>
      </c>
    </row>
    <row r="14" spans="1:7">
      <c r="A14" s="78" t="s">
        <v>180</v>
      </c>
      <c r="B14" s="178">
        <v>9.47794383510951</v>
      </c>
      <c r="C14" s="79">
        <f t="shared" si="0"/>
        <v>8.91503911593599</v>
      </c>
      <c r="D14" s="80">
        <v>0</v>
      </c>
      <c r="E14" s="80">
        <v>0</v>
      </c>
      <c r="F14" s="81">
        <v>0</v>
      </c>
      <c r="G14" s="81">
        <v>0.036695130247829</v>
      </c>
    </row>
    <row r="15" spans="1:7">
      <c r="A15" s="78" t="s">
        <v>181</v>
      </c>
      <c r="B15" s="178">
        <v>10.0183608915337</v>
      </c>
      <c r="C15" s="79">
        <f t="shared" si="0"/>
        <v>9.47794383510951</v>
      </c>
      <c r="D15" s="80">
        <v>0</v>
      </c>
      <c r="E15" s="80">
        <v>0</v>
      </c>
      <c r="F15" s="81">
        <v>0</v>
      </c>
      <c r="G15" s="81">
        <v>0.0406597806790632</v>
      </c>
    </row>
    <row r="16" spans="1:7">
      <c r="A16" s="78" t="s">
        <v>182</v>
      </c>
      <c r="B16" s="178">
        <v>10.3617850717679</v>
      </c>
      <c r="C16" s="79">
        <f t="shared" si="0"/>
        <v>10.0183608915337</v>
      </c>
      <c r="D16" s="80">
        <v>0</v>
      </c>
      <c r="E16" s="80">
        <v>0</v>
      </c>
      <c r="F16" s="81">
        <v>0.00263616859832786</v>
      </c>
      <c r="G16" s="81">
        <v>0.0525695162497942</v>
      </c>
    </row>
    <row r="17" spans="1:7">
      <c r="A17" s="78" t="s">
        <v>183</v>
      </c>
      <c r="B17" s="178">
        <v>10.6080818420698</v>
      </c>
      <c r="C17" s="79">
        <f t="shared" si="0"/>
        <v>10.3617850717679</v>
      </c>
      <c r="D17" s="80">
        <v>0</v>
      </c>
      <c r="E17" s="80"/>
      <c r="F17" s="81"/>
      <c r="G17" s="81"/>
    </row>
    <row r="18" spans="1:7">
      <c r="A18" s="78" t="s">
        <v>184</v>
      </c>
      <c r="B18" s="178">
        <v>10.9068478897696</v>
      </c>
      <c r="C18" s="79">
        <f t="shared" si="0"/>
        <v>10.6080818420698</v>
      </c>
      <c r="D18" s="80">
        <v>0.0217765251606381</v>
      </c>
      <c r="E18" s="80"/>
      <c r="F18" s="81"/>
      <c r="G18" s="81"/>
    </row>
    <row r="19" spans="1:7">
      <c r="A19" s="78" t="s">
        <v>185</v>
      </c>
      <c r="B19" s="178">
        <v>11.2686314859246</v>
      </c>
      <c r="C19" s="79">
        <f t="shared" si="0"/>
        <v>10.9068478897696</v>
      </c>
      <c r="D19" s="80">
        <v>0.0531827528833753</v>
      </c>
      <c r="E19" s="80"/>
      <c r="F19" s="81"/>
      <c r="G19" s="81"/>
    </row>
    <row r="20" spans="1:7">
      <c r="A20" s="78" t="s">
        <v>186</v>
      </c>
      <c r="B20" s="178">
        <v>11.7113024006229</v>
      </c>
      <c r="C20" s="79">
        <f t="shared" si="0"/>
        <v>11.2686314859246</v>
      </c>
      <c r="D20" s="80">
        <v>0.0889711257300183</v>
      </c>
      <c r="E20" s="80"/>
      <c r="F20" s="81"/>
      <c r="G20" s="81"/>
    </row>
    <row r="21" spans="1:7">
      <c r="A21" s="78" t="s">
        <v>187</v>
      </c>
      <c r="B21" s="178">
        <v>11.9218166788332</v>
      </c>
      <c r="C21" s="79">
        <f t="shared" si="0"/>
        <v>11.7113024006229</v>
      </c>
      <c r="D21" s="80">
        <v>0.105057984894376</v>
      </c>
      <c r="E21" s="80">
        <v>0.0105057984894376</v>
      </c>
      <c r="F21" s="81">
        <v>0.0153767314222183</v>
      </c>
      <c r="G21" s="81">
        <v>0.0980325988075552</v>
      </c>
    </row>
    <row r="22" spans="1:7">
      <c r="A22" s="78" t="s">
        <v>188</v>
      </c>
      <c r="B22" s="178">
        <v>12.0824352869943</v>
      </c>
      <c r="C22" s="79">
        <f t="shared" si="0"/>
        <v>11.9218166788332</v>
      </c>
      <c r="D22" s="80">
        <v>0.116954952470598</v>
      </c>
      <c r="E22" s="80">
        <v>0.0116954952470598</v>
      </c>
      <c r="F22" s="81">
        <v>0.0165016761286583</v>
      </c>
      <c r="G22" s="81">
        <v>0.102046821316305</v>
      </c>
    </row>
    <row r="23" spans="1:7">
      <c r="A23" s="78" t="s">
        <v>189</v>
      </c>
      <c r="B23" s="178">
        <v>12.4502418423847</v>
      </c>
      <c r="C23" s="79">
        <f t="shared" si="0"/>
        <v>12.0824352869943</v>
      </c>
      <c r="D23" s="80">
        <v>0.143041976425475</v>
      </c>
      <c r="E23" s="80">
        <v>0.0143041976425475</v>
      </c>
      <c r="F23" s="81">
        <v>0.0189683937452941</v>
      </c>
      <c r="G23" s="81">
        <v>0.110848990278692</v>
      </c>
    </row>
    <row r="24" spans="1:7">
      <c r="A24" s="78" t="s">
        <v>190</v>
      </c>
      <c r="B24" s="178">
        <v>13.0880829850195</v>
      </c>
      <c r="C24" s="79">
        <f t="shared" si="0"/>
        <v>12.4502418423847</v>
      </c>
      <c r="D24" s="80">
        <v>0.184805394763552</v>
      </c>
      <c r="E24" s="80">
        <v>0.0184805394763552</v>
      </c>
      <c r="F24" s="81">
        <v>0.0229174283275315</v>
      </c>
      <c r="G24" s="81">
        <v>0.1249406193313</v>
      </c>
    </row>
    <row r="25" spans="1:7">
      <c r="A25" s="78" t="s">
        <v>191</v>
      </c>
      <c r="B25" s="178">
        <v>13.484598605504</v>
      </c>
      <c r="C25" s="79">
        <f t="shared" si="0"/>
        <v>13.0880829850195</v>
      </c>
      <c r="D25" s="80">
        <v>0.208776252492978</v>
      </c>
      <c r="E25" s="80">
        <v>0.0208776252492978</v>
      </c>
      <c r="F25" s="81">
        <v>0.0251840470552684</v>
      </c>
      <c r="G25" s="81">
        <v>0.133028760787095</v>
      </c>
    </row>
    <row r="26" spans="1:7">
      <c r="A26" s="78" t="s">
        <v>192</v>
      </c>
      <c r="B26" s="178">
        <v>14.2232319151752</v>
      </c>
      <c r="C26" s="79">
        <f t="shared" si="0"/>
        <v>13.484598605504</v>
      </c>
      <c r="D26" s="80">
        <v>0.249865663028992</v>
      </c>
      <c r="E26" s="80">
        <v>0.0249865663028992</v>
      </c>
      <c r="F26" s="81">
        <v>0.0290693493036845</v>
      </c>
      <c r="G26" s="81">
        <v>0.146892969089602</v>
      </c>
    </row>
    <row r="27" spans="1:7">
      <c r="A27" s="78" t="s">
        <v>193</v>
      </c>
      <c r="B27" s="178">
        <v>14.5772591551722</v>
      </c>
      <c r="C27" s="79">
        <f t="shared" si="0"/>
        <v>14.2232319151752</v>
      </c>
      <c r="D27" s="80">
        <v>0.268083627470587</v>
      </c>
      <c r="E27" s="80">
        <v>0.0268083627470587</v>
      </c>
      <c r="F27" s="81">
        <v>0.0307919901808139</v>
      </c>
      <c r="G27" s="81">
        <v>0.153039994577947</v>
      </c>
    </row>
    <row r="28" spans="1:7">
      <c r="A28" s="78" t="s">
        <v>194</v>
      </c>
      <c r="B28" s="178">
        <v>14.9731007367993</v>
      </c>
      <c r="C28" s="79">
        <f t="shared" si="0"/>
        <v>14.5772591551722</v>
      </c>
      <c r="D28" s="80">
        <v>0.287433189035263</v>
      </c>
      <c r="E28" s="80">
        <v>0.0287433189035263</v>
      </c>
      <c r="F28" s="81">
        <v>0.0326216317860934</v>
      </c>
      <c r="G28" s="81">
        <v>0.159568838593845</v>
      </c>
    </row>
    <row r="29" spans="1:7">
      <c r="A29" s="78" t="s">
        <v>195</v>
      </c>
      <c r="B29" s="178">
        <v>15.3347060733357</v>
      </c>
      <c r="C29" s="79">
        <f t="shared" si="0"/>
        <v>14.9731007367993</v>
      </c>
      <c r="D29" s="80">
        <v>0.304236116998235</v>
      </c>
      <c r="E29" s="80">
        <v>0.0304236116998235</v>
      </c>
      <c r="F29" s="81">
        <v>0.0342104706850425</v>
      </c>
      <c r="G29" s="81">
        <v>0.165238408693092</v>
      </c>
    </row>
    <row r="30" spans="1:7">
      <c r="A30" s="78" t="s">
        <v>196</v>
      </c>
      <c r="B30" s="178">
        <v>15.5172839582606</v>
      </c>
      <c r="C30" s="79">
        <f t="shared" si="0"/>
        <v>15.3347060733357</v>
      </c>
      <c r="D30" s="80">
        <v>0.312422543083322</v>
      </c>
      <c r="E30" s="80">
        <v>0.0312422543083322</v>
      </c>
      <c r="F30" s="81">
        <v>0.0349845567393313</v>
      </c>
      <c r="G30" s="81">
        <v>0.16800063660087</v>
      </c>
    </row>
    <row r="31" spans="1:7">
      <c r="A31" s="78" t="s">
        <v>197</v>
      </c>
      <c r="B31" s="178">
        <v>15.8931106625735</v>
      </c>
      <c r="C31" s="79">
        <f t="shared" si="0"/>
        <v>15.5172839582606</v>
      </c>
      <c r="D31" s="80">
        <v>0.328681787423786</v>
      </c>
      <c r="E31" s="80">
        <v>0.0328681787423786</v>
      </c>
      <c r="F31" s="81">
        <v>0.0365219864023386</v>
      </c>
      <c r="G31" s="81">
        <v>0.173486759361866</v>
      </c>
    </row>
    <row r="32" spans="1:7">
      <c r="A32" s="78" t="s">
        <v>198</v>
      </c>
      <c r="B32" s="178">
        <v>16.2143795833274</v>
      </c>
      <c r="C32" s="79">
        <f t="shared" si="0"/>
        <v>15.8931106625735</v>
      </c>
      <c r="D32" s="80">
        <v>0.341983170713132</v>
      </c>
      <c r="E32" s="80">
        <v>0.0341983170713132</v>
      </c>
      <c r="F32" s="81">
        <v>0.0377797288164295</v>
      </c>
      <c r="G32" s="81">
        <v>0.1779748536477</v>
      </c>
    </row>
    <row r="33" spans="1:7">
      <c r="A33" s="78" t="s">
        <v>199</v>
      </c>
      <c r="B33" s="178">
        <v>16.8151485348545</v>
      </c>
      <c r="C33" s="79">
        <f t="shared" si="0"/>
        <v>16.2143795833274</v>
      </c>
      <c r="D33" s="80">
        <v>0.365492691298007</v>
      </c>
      <c r="E33" s="80">
        <v>0.0365492691298007</v>
      </c>
      <c r="F33" s="81">
        <v>0.0400163485953865</v>
      </c>
      <c r="G33" s="81">
        <v>0.185907332751899</v>
      </c>
    </row>
    <row r="34" spans="1:7">
      <c r="A34" s="78" t="s">
        <v>200</v>
      </c>
      <c r="B34" s="178">
        <v>17.8838006389903</v>
      </c>
      <c r="C34" s="79">
        <f t="shared" si="0"/>
        <v>16.8151485348545</v>
      </c>
      <c r="D34" s="80">
        <v>0.403407874106272</v>
      </c>
      <c r="E34" s="80">
        <v>0.0420447244637632</v>
      </c>
      <c r="F34" s="81">
        <v>0.0615272843463303</v>
      </c>
      <c r="G34" s="81">
        <v>0.198700507086213</v>
      </c>
    </row>
    <row r="35" spans="1:7">
      <c r="A35" s="78" t="s">
        <v>201</v>
      </c>
      <c r="B35" s="178">
        <v>18.4683100612983</v>
      </c>
      <c r="C35" s="79">
        <f t="shared" si="0"/>
        <v>17.8838006389903</v>
      </c>
      <c r="D35" s="80">
        <v>0.422289608152443</v>
      </c>
      <c r="E35" s="80">
        <v>0.0533737648914658</v>
      </c>
      <c r="F35" s="81">
        <v>0.0722397150363664</v>
      </c>
      <c r="G35" s="81">
        <v>0.205071498797063</v>
      </c>
    </row>
    <row r="36" spans="1:7">
      <c r="A36" s="78" t="s">
        <v>202</v>
      </c>
      <c r="B36" s="178">
        <v>19.017142221891</v>
      </c>
      <c r="C36" s="79">
        <f t="shared" si="0"/>
        <v>18.4683100612983</v>
      </c>
      <c r="D36" s="80">
        <v>0.438962252173034</v>
      </c>
      <c r="E36" s="80">
        <v>0.0633773513038207</v>
      </c>
      <c r="F36" s="81">
        <v>0.0816988326710864</v>
      </c>
      <c r="G36" s="81">
        <v>0.210697109061109</v>
      </c>
    </row>
    <row r="37" spans="1:7">
      <c r="A37" s="78" t="s">
        <v>203</v>
      </c>
      <c r="B37" s="178">
        <v>19.6540439333237</v>
      </c>
      <c r="C37" s="79">
        <f t="shared" si="0"/>
        <v>19.017142221891</v>
      </c>
      <c r="D37" s="80">
        <v>0.457143034864962</v>
      </c>
      <c r="E37" s="80">
        <v>0.0742858209189772</v>
      </c>
      <c r="F37" s="81">
        <v>0.0920135831067</v>
      </c>
      <c r="G37" s="81">
        <v>0.216831588846906</v>
      </c>
    </row>
    <row r="38" spans="1:7">
      <c r="A38" s="78" t="s">
        <v>204</v>
      </c>
      <c r="B38" s="178">
        <v>20.3783993461501</v>
      </c>
      <c r="C38" s="79">
        <f t="shared" si="0"/>
        <v>19.6540439333237</v>
      </c>
      <c r="D38" s="80">
        <v>0.476439024427575</v>
      </c>
      <c r="E38" s="80">
        <v>0.0858634146565453</v>
      </c>
      <c r="F38" s="81">
        <v>0.102961039006656</v>
      </c>
      <c r="G38" s="81">
        <v>0.223342356833334</v>
      </c>
    </row>
    <row r="39" spans="1:7">
      <c r="A39" s="78" t="s">
        <v>205</v>
      </c>
      <c r="B39" s="178">
        <v>20.9300530704161</v>
      </c>
      <c r="C39" s="79">
        <f t="shared" si="0"/>
        <v>20.3783993461501</v>
      </c>
      <c r="D39" s="80">
        <v>0.490238528952632</v>
      </c>
      <c r="E39" s="80">
        <v>0.0941431173715791</v>
      </c>
      <c r="F39" s="81">
        <v>0.110790099378973</v>
      </c>
      <c r="G39" s="81">
        <v>0.227998524997126</v>
      </c>
    </row>
    <row r="40" spans="1:7">
      <c r="A40" s="78" t="s">
        <v>206</v>
      </c>
      <c r="B40" s="178">
        <v>22.3842209250216</v>
      </c>
      <c r="C40" s="79">
        <f t="shared" si="0"/>
        <v>20.9300530704161</v>
      </c>
      <c r="D40" s="80">
        <v>0.523354657818429</v>
      </c>
      <c r="E40" s="80">
        <v>0.114012794691058</v>
      </c>
      <c r="F40" s="81">
        <v>0.129578322660251</v>
      </c>
      <c r="G40" s="81">
        <v>0.239172423643486</v>
      </c>
    </row>
    <row r="41" spans="1:7">
      <c r="A41" s="78" t="s">
        <v>207</v>
      </c>
      <c r="B41" s="178">
        <v>23.2127298430372</v>
      </c>
      <c r="C41" s="79">
        <f t="shared" si="0"/>
        <v>22.3842209250216</v>
      </c>
      <c r="D41" s="80">
        <v>0.540367086748518</v>
      </c>
      <c r="E41" s="80">
        <v>0.124220252049111</v>
      </c>
      <c r="F41" s="81">
        <v>0.139230215083748</v>
      </c>
      <c r="G41" s="81">
        <v>0.244912682638236</v>
      </c>
    </row>
    <row r="42" spans="1:7">
      <c r="A42" s="78" t="s">
        <v>208</v>
      </c>
      <c r="B42" s="178">
        <v>24.0189856393149</v>
      </c>
      <c r="C42" s="79">
        <f t="shared" si="0"/>
        <v>23.2127298430372</v>
      </c>
      <c r="D42" s="80">
        <v>0.555795785779939</v>
      </c>
      <c r="E42" s="80">
        <v>0.133477471467963</v>
      </c>
      <c r="F42" s="81">
        <v>0.147983588508423</v>
      </c>
      <c r="G42" s="81">
        <v>0.250118566451556</v>
      </c>
    </row>
    <row r="43" spans="1:7">
      <c r="A43" s="78" t="s">
        <v>209</v>
      </c>
      <c r="B43" s="178">
        <v>25.0555053057422</v>
      </c>
      <c r="C43" s="79">
        <f t="shared" si="0"/>
        <v>24.0189856393149</v>
      </c>
      <c r="D43" s="80">
        <v>0.574172042747443</v>
      </c>
      <c r="E43" s="80">
        <v>0.144503225648466</v>
      </c>
      <c r="F43" s="81">
        <v>0.158409240020372</v>
      </c>
      <c r="G43" s="81">
        <v>0.256319002308249</v>
      </c>
    </row>
    <row r="44" spans="1:7">
      <c r="A44" s="78" t="s">
        <v>210</v>
      </c>
      <c r="B44" s="178">
        <v>25.767068202152</v>
      </c>
      <c r="C44" s="79">
        <f t="shared" si="0"/>
        <v>25.0555053057422</v>
      </c>
      <c r="D44" s="80">
        <v>0.585931369507387</v>
      </c>
      <c r="E44" s="80">
        <v>0.151558821704432</v>
      </c>
      <c r="F44" s="81">
        <v>0.165080818624824</v>
      </c>
      <c r="G44" s="81">
        <v>0.260286782657744</v>
      </c>
    </row>
    <row r="45" spans="1:7">
      <c r="A45" s="78" t="s">
        <v>211</v>
      </c>
      <c r="B45" s="178">
        <v>26.2292434782629</v>
      </c>
      <c r="C45" s="79">
        <f t="shared" si="0"/>
        <v>25.767068202152</v>
      </c>
      <c r="D45" s="80">
        <v>0.593227511456177</v>
      </c>
      <c r="E45" s="80">
        <v>0.155936506873706</v>
      </c>
      <c r="F45" s="81">
        <v>0.169220237956754</v>
      </c>
      <c r="G45" s="81">
        <v>0.262748614805324</v>
      </c>
    </row>
    <row r="46" spans="1:7">
      <c r="A46" s="78" t="s">
        <v>212</v>
      </c>
      <c r="B46" s="178">
        <v>27.4163902394457</v>
      </c>
      <c r="C46" s="79">
        <f t="shared" si="0"/>
        <v>26.2292434782629</v>
      </c>
      <c r="D46" s="80">
        <v>0.61084101338315</v>
      </c>
      <c r="E46" s="80">
        <v>0.16650460802989</v>
      </c>
      <c r="F46" s="81">
        <v>0.179213145289318</v>
      </c>
      <c r="G46" s="81">
        <v>0.268691685208783</v>
      </c>
    </row>
    <row r="47" spans="1:7">
      <c r="A47" s="78" t="s">
        <v>213</v>
      </c>
      <c r="B47" s="178">
        <v>29.4348086054144</v>
      </c>
      <c r="C47" s="79">
        <f t="shared" si="0"/>
        <v>27.4163902394457</v>
      </c>
      <c r="D47" s="80">
        <v>0.637526617369877</v>
      </c>
      <c r="E47" s="80">
        <v>0.182515970421926</v>
      </c>
      <c r="F47" s="81">
        <v>0.194353051530479</v>
      </c>
      <c r="G47" s="81">
        <v>0.277695824414574</v>
      </c>
    </row>
    <row r="48" spans="1:7">
      <c r="A48" s="78" t="s">
        <v>214</v>
      </c>
      <c r="B48" s="178">
        <v>31.7081176880355</v>
      </c>
      <c r="C48" s="79">
        <f t="shared" si="0"/>
        <v>29.4348086054144</v>
      </c>
      <c r="D48" s="80">
        <v>0.66351409606693</v>
      </c>
      <c r="E48" s="80">
        <v>0.198108457640158</v>
      </c>
      <c r="F48" s="81">
        <v>0.209096880866822</v>
      </c>
      <c r="G48" s="81">
        <v>0.286464405253599</v>
      </c>
    </row>
    <row r="49" spans="1:7">
      <c r="A49" s="78" t="s">
        <v>215</v>
      </c>
      <c r="B49" s="178">
        <v>35.3322899446211</v>
      </c>
      <c r="C49" s="79">
        <f t="shared" si="0"/>
        <v>31.7081176880355</v>
      </c>
      <c r="D49" s="80">
        <v>0.698028781632959</v>
      </c>
      <c r="E49" s="80">
        <v>0.218817268979775</v>
      </c>
      <c r="F49" s="81">
        <v>0.228678566320625</v>
      </c>
      <c r="G49" s="81">
        <v>0.298110198754665</v>
      </c>
    </row>
    <row r="50" spans="1:7">
      <c r="A50" s="78" t="s">
        <v>216</v>
      </c>
      <c r="B50" s="178">
        <v>38.4115191834698</v>
      </c>
      <c r="C50" s="79">
        <f t="shared" si="0"/>
        <v>35.3322899446211</v>
      </c>
      <c r="D50" s="80">
        <v>0.722236066964352</v>
      </c>
      <c r="E50" s="80">
        <v>0.233341640178611</v>
      </c>
      <c r="F50" s="81">
        <v>0.242412414370405</v>
      </c>
      <c r="G50" s="81">
        <v>0.306278114572744</v>
      </c>
    </row>
    <row r="51" spans="1:7">
      <c r="A51" s="78" t="s">
        <v>217</v>
      </c>
      <c r="B51" s="178">
        <v>40.1227220493025</v>
      </c>
      <c r="C51" s="79">
        <f t="shared" si="0"/>
        <v>38.4115191834698</v>
      </c>
      <c r="D51" s="80">
        <v>0.734082482510424</v>
      </c>
      <c r="E51" s="80">
        <v>0.240449489506254</v>
      </c>
      <c r="F51" s="81">
        <v>0.249133402239017</v>
      </c>
      <c r="G51" s="81">
        <v>0.310275280037672</v>
      </c>
    </row>
    <row r="52" spans="1:7">
      <c r="A52" s="78" t="s">
        <v>218</v>
      </c>
      <c r="B52" s="178">
        <v>42.7205108486676</v>
      </c>
      <c r="C52" s="79">
        <f t="shared" si="0"/>
        <v>40.1227220493025</v>
      </c>
      <c r="D52" s="80">
        <v>0.750252643746006</v>
      </c>
      <c r="E52" s="80">
        <v>0.250151586247604</v>
      </c>
      <c r="F52" s="81">
        <v>0.258307439488949</v>
      </c>
      <c r="G52" s="81">
        <v>0.315731344768967</v>
      </c>
    </row>
    <row r="53" spans="1:7">
      <c r="A53" s="78" t="s">
        <v>219</v>
      </c>
      <c r="B53" s="178">
        <v>47.4748133262622</v>
      </c>
      <c r="C53" s="79">
        <f t="shared" si="0"/>
        <v>42.7205108486676</v>
      </c>
      <c r="D53" s="80">
        <v>0.775263262881063</v>
      </c>
      <c r="E53" s="80">
        <v>0.265157957728638</v>
      </c>
      <c r="F53" s="81">
        <v>0.272497053819075</v>
      </c>
      <c r="G53" s="81">
        <v>0.324170317948179</v>
      </c>
    </row>
    <row r="54" spans="1:7">
      <c r="A54" s="78" t="s">
        <v>220</v>
      </c>
      <c r="B54" s="178">
        <v>53.0406045345833</v>
      </c>
      <c r="C54" s="79">
        <f t="shared" si="0"/>
        <v>47.4748133262622</v>
      </c>
      <c r="D54" s="80">
        <v>0.798845908037902</v>
      </c>
      <c r="E54" s="80">
        <v>0.279307544822742</v>
      </c>
      <c r="F54" s="81">
        <v>0.285876516272715</v>
      </c>
      <c r="G54" s="81">
        <v>0.332127470424046</v>
      </c>
    </row>
    <row r="55" spans="1:7">
      <c r="A55" s="78" t="s">
        <v>221</v>
      </c>
      <c r="B55" s="178">
        <v>90.9311548799149</v>
      </c>
      <c r="C55" s="79">
        <f t="shared" si="0"/>
        <v>53.0406045345833</v>
      </c>
      <c r="D55" s="80">
        <v>0.882665796377876</v>
      </c>
      <c r="E55" s="80">
        <v>0.329599477826726</v>
      </c>
      <c r="F55" s="81">
        <v>0.333431192241187</v>
      </c>
      <c r="G55" s="81">
        <v>0.360409608733616</v>
      </c>
    </row>
    <row r="56" spans="1:7">
      <c r="A56" s="78" t="s">
        <v>221</v>
      </c>
      <c r="B56" s="82" t="s">
        <v>354</v>
      </c>
      <c r="C56" s="79">
        <f t="shared" si="0"/>
        <v>90.9311548799149</v>
      </c>
      <c r="D56" s="83">
        <v>49.1</v>
      </c>
      <c r="E56" s="83"/>
      <c r="F56" s="84"/>
      <c r="G56" s="84"/>
    </row>
    <row r="57" spans="1:7">
      <c r="A57" s="78"/>
      <c r="B57" s="82"/>
      <c r="C57" s="82"/>
      <c r="D57" s="83"/>
      <c r="E57" s="85">
        <v>0.0787765568562089</v>
      </c>
      <c r="F57" s="86">
        <v>0.0859607782232109</v>
      </c>
      <c r="G57" s="86">
        <v>0.166272110841994</v>
      </c>
    </row>
    <row r="58" ht="48" spans="1:7">
      <c r="A58" s="87" t="s">
        <v>233</v>
      </c>
      <c r="B58" s="82">
        <v>10</v>
      </c>
      <c r="C58" s="82"/>
      <c r="D58" s="83"/>
      <c r="E58" s="127">
        <v>17.7822244037913</v>
      </c>
      <c r="F58" s="128">
        <v>16.8143849124663</v>
      </c>
      <c r="G58" s="129">
        <v>10</v>
      </c>
    </row>
    <row r="59" ht="48" spans="1:7">
      <c r="A59" s="87" t="s">
        <v>224</v>
      </c>
      <c r="B59" s="82">
        <v>20.28</v>
      </c>
      <c r="C59" s="82"/>
      <c r="D59" s="83"/>
      <c r="E59" s="83"/>
      <c r="F59" s="84"/>
      <c r="G59" s="84"/>
    </row>
    <row r="60" ht="84" spans="1:7">
      <c r="A60" s="106" t="s">
        <v>225</v>
      </c>
      <c r="B60" s="78">
        <v>6</v>
      </c>
      <c r="C60" s="78"/>
      <c r="D60" s="83"/>
      <c r="E60" s="83">
        <v>10.6693346422748</v>
      </c>
      <c r="F60" s="84">
        <v>10.0886309474798</v>
      </c>
      <c r="G60" s="84">
        <v>6</v>
      </c>
    </row>
    <row r="62" ht="48.75" spans="1:2">
      <c r="A62" s="256" t="s">
        <v>224</v>
      </c>
      <c r="B62">
        <f>B59</f>
        <v>20.28</v>
      </c>
    </row>
    <row r="63" spans="1:3">
      <c r="A63" s="531" t="s">
        <v>226</v>
      </c>
      <c r="B63" s="95">
        <f>AVERAGE(B11:B50)</f>
        <v>17.7822244037913</v>
      </c>
      <c r="C63" s="95"/>
    </row>
    <row r="64" spans="1:3">
      <c r="A64" s="531" t="s">
        <v>227</v>
      </c>
      <c r="B64" s="96">
        <f>AVERAGE(B16:B45)</f>
        <v>16.8143849124663</v>
      </c>
      <c r="C64" s="96"/>
    </row>
    <row r="65" spans="1:3">
      <c r="A65" s="531" t="s">
        <v>228</v>
      </c>
      <c r="B65" s="96">
        <f>AVERAGE(B22:B40)</f>
        <v>16.4931341861312</v>
      </c>
      <c r="C65" s="96"/>
    </row>
    <row r="69" customHeight="1" spans="1:7">
      <c r="A69" s="83" t="s">
        <v>165</v>
      </c>
      <c r="B69" s="83" t="s">
        <v>229</v>
      </c>
      <c r="C69" s="83"/>
      <c r="D69" s="83"/>
      <c r="E69" s="98">
        <f>(1-E124)^(1/3)-1</f>
        <v>-0.0241530198361591</v>
      </c>
      <c r="F69" s="98">
        <f>(1-F124)^(1/3)-1</f>
        <v>-0.0250588803130057</v>
      </c>
      <c r="G69" s="98"/>
    </row>
    <row r="70" ht="72" spans="1:7">
      <c r="A70" s="83"/>
      <c r="B70" s="83" t="s">
        <v>167</v>
      </c>
      <c r="C70" s="83"/>
      <c r="D70" s="83" t="s">
        <v>168</v>
      </c>
      <c r="E70" s="83" t="s">
        <v>169</v>
      </c>
      <c r="F70" s="84" t="s">
        <v>169</v>
      </c>
      <c r="G70" s="84"/>
    </row>
    <row r="71" ht="24" spans="1:7">
      <c r="A71" s="83"/>
      <c r="B71" s="83" t="s">
        <v>230</v>
      </c>
      <c r="C71" s="83"/>
      <c r="D71" s="83" t="s">
        <v>171</v>
      </c>
      <c r="E71" s="83" t="s">
        <v>171</v>
      </c>
      <c r="F71" s="84" t="s">
        <v>171</v>
      </c>
      <c r="G71" s="84"/>
    </row>
    <row r="72" spans="1:7">
      <c r="A72" s="75">
        <v>1</v>
      </c>
      <c r="B72" s="76">
        <v>2</v>
      </c>
      <c r="C72" s="76"/>
      <c r="D72" s="76">
        <v>3</v>
      </c>
      <c r="E72" s="76">
        <v>4</v>
      </c>
      <c r="F72" s="77">
        <v>5</v>
      </c>
      <c r="G72" s="77"/>
    </row>
    <row r="73" spans="1:7">
      <c r="A73" s="530" t="s">
        <v>172</v>
      </c>
      <c r="B73" s="101">
        <v>17.0445078608201</v>
      </c>
      <c r="C73" s="102">
        <v>0</v>
      </c>
      <c r="D73" s="80">
        <v>0</v>
      </c>
      <c r="E73" s="80">
        <v>0</v>
      </c>
      <c r="F73" s="81">
        <v>0</v>
      </c>
      <c r="G73" s="81">
        <v>0.00319462354247097</v>
      </c>
    </row>
    <row r="74" spans="1:7">
      <c r="A74" s="530" t="s">
        <v>173</v>
      </c>
      <c r="B74" s="101">
        <v>21.4357056291891</v>
      </c>
      <c r="C74" s="79">
        <f>B73</f>
        <v>17.0445078608201</v>
      </c>
      <c r="D74" s="80">
        <v>0</v>
      </c>
      <c r="E74" s="80">
        <v>0</v>
      </c>
      <c r="F74" s="81">
        <v>0</v>
      </c>
      <c r="G74" s="81">
        <v>0.0230256270288956</v>
      </c>
    </row>
    <row r="75" spans="1:7">
      <c r="A75" s="530" t="s">
        <v>174</v>
      </c>
      <c r="B75" s="101">
        <v>24.9184337248561</v>
      </c>
      <c r="C75" s="79">
        <f t="shared" ref="C75:C123" si="1">B74</f>
        <v>21.4357056291891</v>
      </c>
      <c r="D75" s="80">
        <v>0</v>
      </c>
      <c r="E75" s="80">
        <v>0</v>
      </c>
      <c r="F75" s="81">
        <v>0</v>
      </c>
      <c r="G75" s="81">
        <v>0.0337839601710548</v>
      </c>
    </row>
    <row r="76" spans="1:7">
      <c r="A76" s="530" t="s">
        <v>175</v>
      </c>
      <c r="B76" s="101">
        <v>27.838016654475</v>
      </c>
      <c r="C76" s="79">
        <f t="shared" si="1"/>
        <v>24.9184337248561</v>
      </c>
      <c r="D76" s="80">
        <v>0</v>
      </c>
      <c r="E76" s="80">
        <v>0</v>
      </c>
      <c r="F76" s="81">
        <v>0</v>
      </c>
      <c r="G76" s="81">
        <v>0.0443712164239779</v>
      </c>
    </row>
    <row r="77" spans="1:7">
      <c r="A77" s="530" t="s">
        <v>176</v>
      </c>
      <c r="B77" s="101">
        <v>33.9605005460879</v>
      </c>
      <c r="C77" s="79">
        <f t="shared" si="1"/>
        <v>27.838016654475</v>
      </c>
      <c r="D77" s="80">
        <v>0</v>
      </c>
      <c r="E77" s="80">
        <v>0</v>
      </c>
      <c r="F77" s="81">
        <v>0.000816782731183462</v>
      </c>
      <c r="G77" s="81">
        <v>0.10848486209546</v>
      </c>
    </row>
    <row r="78" spans="1:7">
      <c r="A78" s="530" t="s">
        <v>177</v>
      </c>
      <c r="B78" s="101">
        <v>35.1458954023596</v>
      </c>
      <c r="C78" s="79">
        <f t="shared" si="1"/>
        <v>33.9605005460879</v>
      </c>
      <c r="D78" s="80">
        <v>0.0255261317037148</v>
      </c>
      <c r="E78" s="80"/>
      <c r="F78" s="81"/>
      <c r="G78" s="81"/>
    </row>
    <row r="79" spans="1:7">
      <c r="A79" s="530" t="s">
        <v>178</v>
      </c>
      <c r="B79" s="101">
        <v>35.6357514391725</v>
      </c>
      <c r="C79" s="79">
        <f t="shared" si="1"/>
        <v>35.1458954023596</v>
      </c>
      <c r="D79" s="80">
        <v>0.0389214408475705</v>
      </c>
      <c r="E79" s="80"/>
      <c r="F79" s="81"/>
      <c r="G79" s="81"/>
    </row>
    <row r="80" spans="1:7">
      <c r="A80" s="78" t="s">
        <v>179</v>
      </c>
      <c r="B80" s="101">
        <v>36.5908591319455</v>
      </c>
      <c r="C80" s="79">
        <f t="shared" si="1"/>
        <v>35.6357514391725</v>
      </c>
      <c r="D80" s="80">
        <v>0.064007857154322</v>
      </c>
      <c r="E80" s="80"/>
      <c r="F80" s="81"/>
      <c r="G80" s="81"/>
    </row>
    <row r="81" spans="1:7">
      <c r="A81" s="78" t="s">
        <v>180</v>
      </c>
      <c r="B81" s="101">
        <v>37.5320537105232</v>
      </c>
      <c r="C81" s="79">
        <f t="shared" si="1"/>
        <v>36.5908591319455</v>
      </c>
      <c r="D81" s="80">
        <v>0.0874798136113884</v>
      </c>
      <c r="E81" s="80"/>
      <c r="F81" s="81"/>
      <c r="G81" s="81"/>
    </row>
    <row r="82" spans="1:7">
      <c r="A82" s="78" t="s">
        <v>181</v>
      </c>
      <c r="B82" s="101">
        <v>38.3314183634018</v>
      </c>
      <c r="C82" s="79">
        <f t="shared" si="1"/>
        <v>37.5320537105232</v>
      </c>
      <c r="D82" s="80">
        <v>0.106509539438953</v>
      </c>
      <c r="E82" s="80">
        <v>0.0106509539438953</v>
      </c>
      <c r="F82" s="81">
        <v>0.0121266092403091</v>
      </c>
      <c r="G82" s="81">
        <v>0.141726228178074</v>
      </c>
    </row>
    <row r="83" spans="1:7">
      <c r="A83" s="78" t="s">
        <v>182</v>
      </c>
      <c r="B83" s="101">
        <v>38.9768848424261</v>
      </c>
      <c r="C83" s="79">
        <f t="shared" si="1"/>
        <v>38.3314183634018</v>
      </c>
      <c r="D83" s="80">
        <v>0.121305953876682</v>
      </c>
      <c r="E83" s="80">
        <v>0.0121305953876682</v>
      </c>
      <c r="F83" s="81">
        <v>0.0135818134815636</v>
      </c>
      <c r="G83" s="81">
        <v>0.14600330323926</v>
      </c>
    </row>
    <row r="84" spans="1:7">
      <c r="A84" s="78" t="s">
        <v>183</v>
      </c>
      <c r="B84" s="101">
        <v>39.6826448867443</v>
      </c>
      <c r="C84" s="79">
        <f t="shared" si="1"/>
        <v>38.9768848424261</v>
      </c>
      <c r="D84" s="80">
        <v>0.136933620598597</v>
      </c>
      <c r="E84" s="80">
        <v>0.0136933620598597</v>
      </c>
      <c r="F84" s="81">
        <v>0.0151187700861756</v>
      </c>
      <c r="G84" s="81">
        <v>0.15052066140614</v>
      </c>
    </row>
    <row r="85" spans="1:7">
      <c r="A85" s="78" t="s">
        <v>184</v>
      </c>
      <c r="B85" s="101">
        <v>40.787808115489</v>
      </c>
      <c r="C85" s="79">
        <f t="shared" si="1"/>
        <v>39.6826448867443</v>
      </c>
      <c r="D85" s="80">
        <v>0.160318775882732</v>
      </c>
      <c r="E85" s="80">
        <v>0.0160318775882732</v>
      </c>
      <c r="F85" s="81">
        <v>0.0174186635701737</v>
      </c>
      <c r="G85" s="81">
        <v>0.157280411539435</v>
      </c>
    </row>
    <row r="86" spans="1:7">
      <c r="A86" s="78" t="s">
        <v>185</v>
      </c>
      <c r="B86" s="101">
        <v>42.3470351298025</v>
      </c>
      <c r="C86" s="79">
        <f t="shared" si="1"/>
        <v>40.787808115489</v>
      </c>
      <c r="D86" s="80">
        <v>0.19123602059756</v>
      </c>
      <c r="E86" s="80">
        <v>0.019123602059756</v>
      </c>
      <c r="F86" s="81">
        <v>0.0204593262811478</v>
      </c>
      <c r="G86" s="81">
        <v>0.166217399408142</v>
      </c>
    </row>
    <row r="87" spans="1:7">
      <c r="A87" s="78" t="s">
        <v>186</v>
      </c>
      <c r="B87" s="101">
        <v>43.1613356840222</v>
      </c>
      <c r="C87" s="79">
        <f t="shared" si="1"/>
        <v>42.3470351298025</v>
      </c>
      <c r="D87" s="80">
        <v>0.206494514020509</v>
      </c>
      <c r="E87" s="80">
        <v>0.0206494514020509</v>
      </c>
      <c r="F87" s="81">
        <v>0.0219599752686222</v>
      </c>
      <c r="G87" s="81">
        <v>0.170628043754799</v>
      </c>
    </row>
    <row r="88" spans="1:7">
      <c r="A88" s="78" t="s">
        <v>187</v>
      </c>
      <c r="B88" s="101">
        <v>43.9537906428386</v>
      </c>
      <c r="C88" s="79">
        <f t="shared" si="1"/>
        <v>43.1613356840222</v>
      </c>
      <c r="D88" s="80">
        <v>0.220800842280615</v>
      </c>
      <c r="E88" s="80">
        <v>0.0220800842280615</v>
      </c>
      <c r="F88" s="81">
        <v>0.0233669803000439</v>
      </c>
      <c r="G88" s="81">
        <v>0.174763453726988</v>
      </c>
    </row>
    <row r="89" spans="1:7">
      <c r="A89" s="78" t="s">
        <v>188</v>
      </c>
      <c r="B89" s="101">
        <v>44.6496904980517</v>
      </c>
      <c r="C89" s="79">
        <f t="shared" si="1"/>
        <v>43.9537906428386</v>
      </c>
      <c r="D89" s="80">
        <v>0.2329452619841</v>
      </c>
      <c r="E89" s="80">
        <v>0.02329452619841</v>
      </c>
      <c r="F89" s="81">
        <v>0.0245613650028016</v>
      </c>
      <c r="G89" s="81">
        <v>0.178273938977651</v>
      </c>
    </row>
    <row r="90" spans="1:7">
      <c r="A90" s="78" t="s">
        <v>189</v>
      </c>
      <c r="B90" s="101">
        <v>46.327702333636</v>
      </c>
      <c r="C90" s="79">
        <f t="shared" si="1"/>
        <v>44.6496904980517</v>
      </c>
      <c r="D90" s="80">
        <v>0.260728356419957</v>
      </c>
      <c r="E90" s="80">
        <v>0.0260728356419957</v>
      </c>
      <c r="F90" s="81">
        <v>0.0272937889308002</v>
      </c>
      <c r="G90" s="81">
        <v>0.186304964388183</v>
      </c>
    </row>
    <row r="91" spans="1:7">
      <c r="A91" s="78" t="s">
        <v>190</v>
      </c>
      <c r="B91" s="101">
        <v>46.8104373651289</v>
      </c>
      <c r="C91" s="79">
        <f t="shared" si="1"/>
        <v>46.327702333636</v>
      </c>
      <c r="D91" s="80">
        <v>0.268352133086724</v>
      </c>
      <c r="E91" s="80">
        <v>0.0268352133086724</v>
      </c>
      <c r="F91" s="81">
        <v>0.0280435754541871</v>
      </c>
      <c r="G91" s="81">
        <v>0.188508705381699</v>
      </c>
    </row>
    <row r="92" spans="1:7">
      <c r="A92" s="78" t="s">
        <v>191</v>
      </c>
      <c r="B92" s="101">
        <v>47.0411475425398</v>
      </c>
      <c r="C92" s="79">
        <f t="shared" si="1"/>
        <v>46.8104373651289</v>
      </c>
      <c r="D92" s="80">
        <v>0.271940451356921</v>
      </c>
      <c r="E92" s="80">
        <v>0.0271940451356921</v>
      </c>
      <c r="F92" s="81">
        <v>0.0283964809494837</v>
      </c>
      <c r="G92" s="81">
        <v>0.189545950360855</v>
      </c>
    </row>
    <row r="93" spans="1:7">
      <c r="A93" s="78" t="s">
        <v>192</v>
      </c>
      <c r="B93" s="101">
        <v>48.6882590677853</v>
      </c>
      <c r="C93" s="79">
        <f t="shared" si="1"/>
        <v>47.0411475425398</v>
      </c>
      <c r="D93" s="80">
        <v>0.296570522273309</v>
      </c>
      <c r="E93" s="80">
        <v>0.0296570522273309</v>
      </c>
      <c r="F93" s="81">
        <v>0.0308188099407923</v>
      </c>
      <c r="G93" s="81">
        <v>0.196665557784333</v>
      </c>
    </row>
    <row r="94" spans="1:7">
      <c r="A94" s="78" t="s">
        <v>193</v>
      </c>
      <c r="B94" s="101">
        <v>49.4736504133105</v>
      </c>
      <c r="C94" s="79">
        <f t="shared" si="1"/>
        <v>48.6882590677853</v>
      </c>
      <c r="D94" s="80">
        <v>0.307737424642114</v>
      </c>
      <c r="E94" s="80">
        <v>0.0307737424642114</v>
      </c>
      <c r="F94" s="81">
        <v>0.0319170573410087</v>
      </c>
      <c r="G94" s="81">
        <v>0.199893480321467</v>
      </c>
    </row>
    <row r="95" spans="1:7">
      <c r="A95" s="78" t="s">
        <v>194</v>
      </c>
      <c r="B95" s="101">
        <v>50.3577031782749</v>
      </c>
      <c r="C95" s="79">
        <f t="shared" si="1"/>
        <v>49.4736504133105</v>
      </c>
      <c r="D95" s="80">
        <v>0.319890414258419</v>
      </c>
      <c r="E95" s="80">
        <v>0.0319890414258419</v>
      </c>
      <c r="F95" s="81">
        <v>0.0331122848813022</v>
      </c>
      <c r="G95" s="81">
        <v>0.203406442804742</v>
      </c>
    </row>
    <row r="96" spans="1:7">
      <c r="A96" s="78" t="s">
        <v>195</v>
      </c>
      <c r="B96" s="101">
        <v>51.429878307577</v>
      </c>
      <c r="C96" s="79">
        <f t="shared" si="1"/>
        <v>50.3577031782749</v>
      </c>
      <c r="D96" s="80">
        <v>0.33406887640976</v>
      </c>
      <c r="E96" s="80">
        <v>0.033406887640976</v>
      </c>
      <c r="F96" s="81">
        <v>0.0345067144807116</v>
      </c>
      <c r="G96" s="81">
        <v>0.207504891596419</v>
      </c>
    </row>
    <row r="97" spans="1:7">
      <c r="A97" s="78" t="s">
        <v>196</v>
      </c>
      <c r="B97" s="101">
        <v>52.6281621957107</v>
      </c>
      <c r="C97" s="79">
        <f t="shared" si="1"/>
        <v>51.429878307577</v>
      </c>
      <c r="D97" s="80">
        <v>0.349231376917331</v>
      </c>
      <c r="E97" s="80">
        <v>0.0349231376917331</v>
      </c>
      <c r="F97" s="81">
        <v>0.0359979227149429</v>
      </c>
      <c r="G97" s="81">
        <v>0.211887788078474</v>
      </c>
    </row>
    <row r="98" spans="1:7">
      <c r="A98" s="78" t="s">
        <v>197</v>
      </c>
      <c r="B98" s="101">
        <v>53.9737766261513</v>
      </c>
      <c r="C98" s="79">
        <f t="shared" si="1"/>
        <v>52.6281621957107</v>
      </c>
      <c r="D98" s="80">
        <v>0.36545561959287</v>
      </c>
      <c r="E98" s="80">
        <v>0.036545561959287</v>
      </c>
      <c r="F98" s="81">
        <v>0.0375935516324721</v>
      </c>
      <c r="G98" s="81">
        <v>0.216577593438157</v>
      </c>
    </row>
    <row r="99" spans="1:7">
      <c r="A99" s="78" t="s">
        <v>198</v>
      </c>
      <c r="B99" s="101">
        <v>55.4446717313178</v>
      </c>
      <c r="C99" s="79">
        <f t="shared" si="1"/>
        <v>53.9737766261513</v>
      </c>
      <c r="D99" s="80">
        <v>0.382289486473257</v>
      </c>
      <c r="E99" s="80">
        <v>0.0382289486473257</v>
      </c>
      <c r="F99" s="81">
        <v>0.0392491361380392</v>
      </c>
      <c r="G99" s="81">
        <v>0.221443617738871</v>
      </c>
    </row>
    <row r="100" spans="1:7">
      <c r="A100" s="78" t="s">
        <v>199</v>
      </c>
      <c r="B100" s="101">
        <v>56.80811224197</v>
      </c>
      <c r="C100" s="79">
        <f t="shared" si="1"/>
        <v>55.4446717313178</v>
      </c>
      <c r="D100" s="80">
        <v>0.397115036993415</v>
      </c>
      <c r="E100" s="80">
        <v>0.0397115036993415</v>
      </c>
      <c r="F100" s="81">
        <v>0.0442432352048611</v>
      </c>
      <c r="G100" s="81">
        <v>0.225729114922325</v>
      </c>
    </row>
    <row r="101" spans="1:7">
      <c r="A101" s="78" t="s">
        <v>200</v>
      </c>
      <c r="B101" s="101">
        <v>59.0381158859438</v>
      </c>
      <c r="C101" s="79">
        <f t="shared" si="1"/>
        <v>56.80811224197</v>
      </c>
      <c r="D101" s="80">
        <v>0.419887370497401</v>
      </c>
      <c r="E101" s="80">
        <v>0.0519324222984406</v>
      </c>
      <c r="F101" s="81">
        <v>0.057680975721414</v>
      </c>
      <c r="G101" s="81">
        <v>0.232311721818395</v>
      </c>
    </row>
    <row r="102" spans="1:7">
      <c r="A102" s="78" t="s">
        <v>201</v>
      </c>
      <c r="B102" s="101">
        <v>60.4184109452596</v>
      </c>
      <c r="C102" s="79">
        <f t="shared" si="1"/>
        <v>59.0381158859438</v>
      </c>
      <c r="D102" s="80">
        <v>0.433140393604457</v>
      </c>
      <c r="E102" s="80">
        <v>0.0598842361626743</v>
      </c>
      <c r="F102" s="81">
        <v>0.0655014604135658</v>
      </c>
      <c r="G102" s="81">
        <v>0.236142661729889</v>
      </c>
    </row>
    <row r="103" spans="1:7">
      <c r="A103" s="78" t="s">
        <v>202</v>
      </c>
      <c r="B103" s="101">
        <v>64.1580429619371</v>
      </c>
      <c r="C103" s="79">
        <f t="shared" si="1"/>
        <v>60.4184109452596</v>
      </c>
      <c r="D103" s="80">
        <v>0.46618140039289</v>
      </c>
      <c r="E103" s="80">
        <v>0.0797088402357341</v>
      </c>
      <c r="F103" s="81">
        <v>0.0849986487693795</v>
      </c>
      <c r="G103" s="81">
        <v>0.245693547637147</v>
      </c>
    </row>
    <row r="104" spans="1:7">
      <c r="A104" s="78" t="s">
        <v>203</v>
      </c>
      <c r="B104" s="101">
        <v>67.6979539965437</v>
      </c>
      <c r="C104" s="79">
        <f t="shared" si="1"/>
        <v>64.1580429619371</v>
      </c>
      <c r="D104" s="80">
        <v>0.494094656845573</v>
      </c>
      <c r="E104" s="80">
        <v>0.0964567941073438</v>
      </c>
      <c r="F104" s="81">
        <v>0.101469999723268</v>
      </c>
      <c r="G104" s="81">
        <v>0.253762197887023</v>
      </c>
    </row>
    <row r="105" spans="1:7">
      <c r="A105" s="78" t="s">
        <v>204</v>
      </c>
      <c r="B105" s="101">
        <v>69.1719967709826</v>
      </c>
      <c r="C105" s="79">
        <f t="shared" si="1"/>
        <v>67.6979539965437</v>
      </c>
      <c r="D105" s="80">
        <v>0.504875408456602</v>
      </c>
      <c r="E105" s="80">
        <v>0.102925245073961</v>
      </c>
      <c r="F105" s="81">
        <v>0.107831620182456</v>
      </c>
      <c r="G105" s="81">
        <v>0.25687849907272</v>
      </c>
    </row>
    <row r="106" spans="1:7">
      <c r="A106" s="78" t="s">
        <v>205</v>
      </c>
      <c r="B106" s="101">
        <v>70.3454714188122</v>
      </c>
      <c r="C106" s="79">
        <f t="shared" si="1"/>
        <v>69.1719967709826</v>
      </c>
      <c r="D106" s="80">
        <v>0.513134876251394</v>
      </c>
      <c r="E106" s="80">
        <v>0.107880925750837</v>
      </c>
      <c r="F106" s="81">
        <v>0.112705454698002</v>
      </c>
      <c r="G106" s="81">
        <v>0.259265993953486</v>
      </c>
    </row>
    <row r="107" spans="1:7">
      <c r="A107" s="78" t="s">
        <v>206</v>
      </c>
      <c r="B107" s="101">
        <v>71.2833170567704</v>
      </c>
      <c r="C107" s="79">
        <f t="shared" si="1"/>
        <v>70.3454714188122</v>
      </c>
      <c r="D107" s="80">
        <v>0.519540362856598</v>
      </c>
      <c r="E107" s="80">
        <v>0.111724217713959</v>
      </c>
      <c r="F107" s="81">
        <v>0.116485272294117</v>
      </c>
      <c r="G107" s="81">
        <v>0.261117574086576</v>
      </c>
    </row>
    <row r="108" spans="1:7">
      <c r="A108" s="78" t="s">
        <v>207</v>
      </c>
      <c r="B108" s="101">
        <v>71.9034689619703</v>
      </c>
      <c r="C108" s="79">
        <f t="shared" si="1"/>
        <v>71.2833170567704</v>
      </c>
      <c r="D108" s="80">
        <v>0.52368422355828</v>
      </c>
      <c r="E108" s="80">
        <v>0.114210534134968</v>
      </c>
      <c r="F108" s="81">
        <v>0.118930525646664</v>
      </c>
      <c r="G108" s="81">
        <v>0.262315405043447</v>
      </c>
    </row>
    <row r="109" spans="1:7">
      <c r="A109" s="78" t="s">
        <v>208</v>
      </c>
      <c r="B109" s="101">
        <v>72.7919225340174</v>
      </c>
      <c r="C109" s="79">
        <f t="shared" si="1"/>
        <v>71.9034689619703</v>
      </c>
      <c r="D109" s="80">
        <v>0.529497841859188</v>
      </c>
      <c r="E109" s="80">
        <v>0.117698705115513</v>
      </c>
      <c r="F109" s="81">
        <v>0.122361087305012</v>
      </c>
      <c r="G109" s="81">
        <v>0.263995898784326</v>
      </c>
    </row>
    <row r="110" spans="1:7">
      <c r="A110" s="78" t="s">
        <v>209</v>
      </c>
      <c r="B110" s="101">
        <v>73.8481604659708</v>
      </c>
      <c r="C110" s="79">
        <f t="shared" si="1"/>
        <v>72.7919225340174</v>
      </c>
      <c r="D110" s="80">
        <v>0.536227355815372</v>
      </c>
      <c r="E110" s="80">
        <v>0.121736413489223</v>
      </c>
      <c r="F110" s="81">
        <v>0.126332110403277</v>
      </c>
      <c r="G110" s="81">
        <v>0.265941142778202</v>
      </c>
    </row>
    <row r="111" spans="1:7">
      <c r="A111" s="78" t="s">
        <v>210</v>
      </c>
      <c r="B111" s="101">
        <v>74.8778834341946</v>
      </c>
      <c r="C111" s="79">
        <f t="shared" si="1"/>
        <v>73.8481604659708</v>
      </c>
      <c r="D111" s="80">
        <v>0.542605171558126</v>
      </c>
      <c r="E111" s="80">
        <v>0.125563102934876</v>
      </c>
      <c r="F111" s="81">
        <v>0.130095599682868</v>
      </c>
      <c r="G111" s="81">
        <v>0.267784724327839</v>
      </c>
    </row>
    <row r="112" spans="1:7">
      <c r="A112" s="78" t="s">
        <v>211</v>
      </c>
      <c r="B112" s="101">
        <v>76.0784168750193</v>
      </c>
      <c r="C112" s="79">
        <f t="shared" si="1"/>
        <v>74.8778834341946</v>
      </c>
      <c r="D112" s="80">
        <v>0.549822958280829</v>
      </c>
      <c r="E112" s="80">
        <v>0.129893774968498</v>
      </c>
      <c r="F112" s="81">
        <v>0.134354747963238</v>
      </c>
      <c r="G112" s="81">
        <v>0.269871109223216</v>
      </c>
    </row>
    <row r="113" spans="1:7">
      <c r="A113" s="78" t="s">
        <v>212</v>
      </c>
      <c r="B113" s="101">
        <v>77.6171136237134</v>
      </c>
      <c r="C113" s="79">
        <f t="shared" si="1"/>
        <v>76.0784168750193</v>
      </c>
      <c r="D113" s="80">
        <v>0.558747355467101</v>
      </c>
      <c r="E113" s="80">
        <v>0.135248413280261</v>
      </c>
      <c r="F113" s="81">
        <v>0.139620951079171</v>
      </c>
      <c r="G113" s="81">
        <v>0.272450809650111</v>
      </c>
    </row>
    <row r="114" spans="1:7">
      <c r="A114" s="78" t="s">
        <v>213</v>
      </c>
      <c r="B114" s="101">
        <v>79.1804992221793</v>
      </c>
      <c r="C114" s="79">
        <f t="shared" si="1"/>
        <v>77.6171136237134</v>
      </c>
      <c r="D114" s="80">
        <v>0.567459703034045</v>
      </c>
      <c r="E114" s="80">
        <v>0.140475821820427</v>
      </c>
      <c r="F114" s="81">
        <v>0.144762025702644</v>
      </c>
      <c r="G114" s="81">
        <v>0.274969214677206</v>
      </c>
    </row>
    <row r="115" spans="1:7">
      <c r="A115" s="78" t="s">
        <v>214</v>
      </c>
      <c r="B115" s="101">
        <v>82.1522315380014</v>
      </c>
      <c r="C115" s="79">
        <f t="shared" si="1"/>
        <v>79.1804992221793</v>
      </c>
      <c r="D115" s="80">
        <v>0.583106191928195</v>
      </c>
      <c r="E115" s="80">
        <v>0.149863715156917</v>
      </c>
      <c r="F115" s="81">
        <v>0.1539948721177</v>
      </c>
      <c r="G115" s="81">
        <v>0.279492013611091</v>
      </c>
    </row>
    <row r="116" spans="1:7">
      <c r="A116" s="78" t="s">
        <v>215</v>
      </c>
      <c r="B116" s="101">
        <v>85.5350950611891</v>
      </c>
      <c r="C116" s="79">
        <f t="shared" si="1"/>
        <v>82.1522315380014</v>
      </c>
      <c r="D116" s="80">
        <v>0.599594100842776</v>
      </c>
      <c r="E116" s="80">
        <v>0.159756460505666</v>
      </c>
      <c r="F116" s="81">
        <v>0.163724232598738</v>
      </c>
      <c r="G116" s="81">
        <v>0.284258034752661</v>
      </c>
    </row>
    <row r="117" spans="1:7">
      <c r="A117" s="78" t="s">
        <v>216</v>
      </c>
      <c r="B117" s="101">
        <v>91.3736735622519</v>
      </c>
      <c r="C117" s="79">
        <f t="shared" si="1"/>
        <v>85.5350950611891</v>
      </c>
      <c r="D117" s="80">
        <v>0.625179164717059</v>
      </c>
      <c r="E117" s="80">
        <v>0.175107498830235</v>
      </c>
      <c r="F117" s="81">
        <v>0.178821738938255</v>
      </c>
      <c r="G117" s="81">
        <v>0.291653693957535</v>
      </c>
    </row>
    <row r="118" spans="1:7">
      <c r="A118" s="78" t="s">
        <v>217</v>
      </c>
      <c r="B118" s="101">
        <v>93.1969912423538</v>
      </c>
      <c r="C118" s="79">
        <f t="shared" si="1"/>
        <v>91.3736735622519</v>
      </c>
      <c r="D118" s="80">
        <v>0.632512206768436</v>
      </c>
      <c r="E118" s="80">
        <v>0.179507324061061</v>
      </c>
      <c r="F118" s="81">
        <v>0.183148898307589</v>
      </c>
      <c r="G118" s="81">
        <v>0.2937733947413</v>
      </c>
    </row>
    <row r="119" spans="1:7">
      <c r="A119" s="78" t="s">
        <v>218</v>
      </c>
      <c r="B119" s="101">
        <v>95.9255478218304</v>
      </c>
      <c r="C119" s="79">
        <f t="shared" si="1"/>
        <v>93.1969912423538</v>
      </c>
      <c r="D119" s="80">
        <v>0.642965222246249</v>
      </c>
      <c r="E119" s="80">
        <v>0.185779133347749</v>
      </c>
      <c r="F119" s="81">
        <v>0.189317124747</v>
      </c>
      <c r="G119" s="81">
        <v>0.296794959999728</v>
      </c>
    </row>
    <row r="120" spans="1:7">
      <c r="A120" s="78" t="s">
        <v>219</v>
      </c>
      <c r="B120" s="101">
        <v>102.680994081756</v>
      </c>
      <c r="C120" s="79">
        <f t="shared" si="1"/>
        <v>95.9255478218304</v>
      </c>
      <c r="D120" s="80">
        <v>0.666454761626046</v>
      </c>
      <c r="E120" s="80">
        <v>0.199872856975627</v>
      </c>
      <c r="F120" s="81">
        <v>0.203178081727268</v>
      </c>
      <c r="G120" s="81">
        <v>0.303584883565527</v>
      </c>
    </row>
    <row r="121" spans="1:7">
      <c r="A121" s="78" t="s">
        <v>220</v>
      </c>
      <c r="B121" s="101">
        <v>116.012381055955</v>
      </c>
      <c r="C121" s="79">
        <f t="shared" si="1"/>
        <v>102.680994081756</v>
      </c>
      <c r="D121" s="80">
        <v>0.704783607268994</v>
      </c>
      <c r="E121" s="80">
        <v>0.222870164361397</v>
      </c>
      <c r="F121" s="81">
        <v>0.225795574219146</v>
      </c>
      <c r="G121" s="81">
        <v>0.3146642805717</v>
      </c>
    </row>
    <row r="122" spans="1:7">
      <c r="A122" s="78" t="s">
        <v>221</v>
      </c>
      <c r="B122" s="101">
        <v>140.238919555233</v>
      </c>
      <c r="C122" s="79">
        <f t="shared" si="1"/>
        <v>116.012381055955</v>
      </c>
      <c r="D122" s="80">
        <v>0.7557827972713</v>
      </c>
      <c r="E122" s="80">
        <v>0.25346967836278</v>
      </c>
      <c r="F122" s="81">
        <v>0.255889718136606</v>
      </c>
      <c r="G122" s="81">
        <v>0.329406187444984</v>
      </c>
    </row>
    <row r="123" spans="1:7">
      <c r="A123" s="78" t="s">
        <v>221</v>
      </c>
      <c r="B123" s="78" t="s">
        <v>355</v>
      </c>
      <c r="C123" s="79">
        <f t="shared" si="1"/>
        <v>140.238919555233</v>
      </c>
      <c r="D123" s="83" t="s">
        <v>232</v>
      </c>
      <c r="E123" s="83"/>
      <c r="F123" s="84"/>
      <c r="G123" s="84"/>
    </row>
    <row r="124" spans="1:7">
      <c r="A124" s="78"/>
      <c r="B124" s="78"/>
      <c r="C124" s="78"/>
      <c r="D124" s="83"/>
      <c r="E124" s="85">
        <v>0.0707230445146046</v>
      </c>
      <c r="F124" s="86">
        <v>0.0733085341522005</v>
      </c>
      <c r="G124" s="86">
        <v>0.205360840322844</v>
      </c>
    </row>
    <row r="125" ht="48" spans="1:7">
      <c r="A125" s="87" t="s">
        <v>233</v>
      </c>
      <c r="B125" s="78">
        <v>27.5</v>
      </c>
      <c r="C125" s="78"/>
      <c r="D125" s="83"/>
      <c r="E125" s="127">
        <v>57.0812610791234</v>
      </c>
      <c r="F125" s="128">
        <v>56.1385284036733</v>
      </c>
      <c r="G125" s="129">
        <v>27.5</v>
      </c>
    </row>
    <row r="126" ht="48" spans="1:7">
      <c r="A126" s="87" t="s">
        <v>224</v>
      </c>
      <c r="B126" s="78">
        <v>59.3712179963015</v>
      </c>
      <c r="C126" s="78"/>
      <c r="D126" s="83"/>
      <c r="E126" s="83"/>
      <c r="F126" s="84"/>
      <c r="G126" s="84"/>
    </row>
    <row r="127" ht="84" spans="1:7">
      <c r="A127" s="106" t="s">
        <v>225</v>
      </c>
      <c r="B127" s="78">
        <v>16.5</v>
      </c>
      <c r="C127" s="78"/>
      <c r="D127" s="83"/>
      <c r="E127" s="83">
        <v>34.248756647474</v>
      </c>
      <c r="F127" s="84">
        <v>33.683117042204</v>
      </c>
      <c r="G127" s="84">
        <v>16.5</v>
      </c>
    </row>
    <row r="129" ht="48.75" spans="1:2">
      <c r="A129" s="256" t="s">
        <v>224</v>
      </c>
      <c r="B129">
        <f>B126</f>
        <v>59.3712179963015</v>
      </c>
    </row>
    <row r="130" spans="1:3">
      <c r="A130" s="531" t="s">
        <v>226</v>
      </c>
      <c r="B130" s="95">
        <f>AVERAGE(B78:B117)</f>
        <v>57.0812610791234</v>
      </c>
      <c r="C130" s="95"/>
    </row>
    <row r="131" spans="1:3">
      <c r="A131" s="531" t="s">
        <v>227</v>
      </c>
      <c r="B131" s="96">
        <f>AVERAGE(B83:B112)</f>
        <v>56.1385284036733</v>
      </c>
      <c r="C131" s="96"/>
    </row>
    <row r="132" spans="1:3">
      <c r="A132" s="531" t="s">
        <v>228</v>
      </c>
      <c r="B132" s="96">
        <f>AVERAGE(B89:B107)</f>
        <v>56.0919210809318</v>
      </c>
      <c r="C132" s="96"/>
    </row>
    <row r="133" ht="15.75"/>
    <row r="134" ht="15.75" spans="1:7">
      <c r="A134" s="252" t="s">
        <v>165</v>
      </c>
      <c r="B134" s="67" t="s">
        <v>347</v>
      </c>
      <c r="C134" s="68"/>
      <c r="D134" s="69"/>
      <c r="E134" s="70">
        <f>(1-E189)^(1/3)-1</f>
        <v>0</v>
      </c>
      <c r="F134" s="70">
        <f>(1-F189)^(1/3)-1</f>
        <v>0</v>
      </c>
      <c r="G134" s="70"/>
    </row>
    <row r="135" ht="72.75" spans="1:7">
      <c r="A135" s="253"/>
      <c r="B135" s="72" t="s">
        <v>167</v>
      </c>
      <c r="C135" s="107"/>
      <c r="D135" s="83" t="s">
        <v>168</v>
      </c>
      <c r="E135" s="83" t="s">
        <v>169</v>
      </c>
      <c r="F135" s="84" t="s">
        <v>169</v>
      </c>
      <c r="G135" s="84"/>
    </row>
    <row r="136" ht="24.75" spans="1:7">
      <c r="A136" s="254"/>
      <c r="B136" s="72" t="s">
        <v>235</v>
      </c>
      <c r="C136" s="107"/>
      <c r="D136" s="83" t="s">
        <v>171</v>
      </c>
      <c r="E136" s="83" t="s">
        <v>171</v>
      </c>
      <c r="F136" s="84" t="s">
        <v>171</v>
      </c>
      <c r="G136" s="84"/>
    </row>
    <row r="137" spans="1:7">
      <c r="A137" s="75">
        <v>1</v>
      </c>
      <c r="B137" s="76">
        <v>2</v>
      </c>
      <c r="C137" s="76"/>
      <c r="D137" s="76">
        <v>3</v>
      </c>
      <c r="E137" s="76">
        <v>4</v>
      </c>
      <c r="F137" s="77">
        <v>5</v>
      </c>
      <c r="G137" s="77"/>
    </row>
    <row r="138" ht="15.75" spans="1:7">
      <c r="A138" s="533" t="s">
        <v>172</v>
      </c>
      <c r="B138" s="317"/>
      <c r="C138" s="112">
        <v>0</v>
      </c>
      <c r="D138" s="80">
        <f t="shared" ref="D138:D187" si="2">IF(B138=0,0,IF(B138&lt;=E$192,0,B138-E$192)/B138)</f>
        <v>0</v>
      </c>
      <c r="E138" s="80"/>
      <c r="F138" s="81"/>
      <c r="G138" s="81"/>
    </row>
    <row r="139" ht="15.75" spans="1:7">
      <c r="A139" s="533" t="s">
        <v>173</v>
      </c>
      <c r="B139" s="317"/>
      <c r="C139" s="79">
        <f>B138</f>
        <v>0</v>
      </c>
      <c r="D139" s="80">
        <f t="shared" si="2"/>
        <v>0</v>
      </c>
      <c r="E139" s="80"/>
      <c r="F139" s="81"/>
      <c r="G139" s="81"/>
    </row>
    <row r="140" ht="15.75" spans="1:7">
      <c r="A140" s="533" t="s">
        <v>174</v>
      </c>
      <c r="B140" s="317"/>
      <c r="C140" s="79">
        <f t="shared" ref="C140:C188" si="3">B139</f>
        <v>0</v>
      </c>
      <c r="D140" s="80">
        <f t="shared" si="2"/>
        <v>0</v>
      </c>
      <c r="E140" s="80"/>
      <c r="F140" s="81"/>
      <c r="G140" s="81"/>
    </row>
    <row r="141" ht="15.75" spans="1:7">
      <c r="A141" s="533" t="s">
        <v>175</v>
      </c>
      <c r="B141" s="317"/>
      <c r="C141" s="79">
        <f t="shared" si="3"/>
        <v>0</v>
      </c>
      <c r="D141" s="80">
        <f t="shared" si="2"/>
        <v>0</v>
      </c>
      <c r="E141" s="80"/>
      <c r="F141" s="81"/>
      <c r="G141" s="81"/>
    </row>
    <row r="142" ht="15.75" spans="1:7">
      <c r="A142" s="533" t="s">
        <v>176</v>
      </c>
      <c r="B142" s="317"/>
      <c r="C142" s="79">
        <f t="shared" si="3"/>
        <v>0</v>
      </c>
      <c r="D142" s="80">
        <f t="shared" si="2"/>
        <v>0</v>
      </c>
      <c r="E142" s="80"/>
      <c r="F142" s="81"/>
      <c r="G142" s="81"/>
    </row>
    <row r="143" ht="15.75" spans="1:7">
      <c r="A143" s="533" t="s">
        <v>177</v>
      </c>
      <c r="B143" s="317"/>
      <c r="C143" s="79">
        <f t="shared" si="3"/>
        <v>0</v>
      </c>
      <c r="D143" s="80">
        <f t="shared" si="2"/>
        <v>0</v>
      </c>
      <c r="E143" s="80"/>
      <c r="F143" s="81"/>
      <c r="G143" s="81"/>
    </row>
    <row r="144" ht="15.75" spans="1:7">
      <c r="A144" s="533" t="s">
        <v>178</v>
      </c>
      <c r="B144" s="317"/>
      <c r="C144" s="79">
        <f t="shared" si="3"/>
        <v>0</v>
      </c>
      <c r="D144" s="80">
        <f t="shared" si="2"/>
        <v>0</v>
      </c>
      <c r="E144" s="80"/>
      <c r="F144" s="81"/>
      <c r="G144" s="81"/>
    </row>
    <row r="145" ht="15.75" spans="1:7">
      <c r="A145" s="257" t="s">
        <v>179</v>
      </c>
      <c r="B145" s="317"/>
      <c r="C145" s="79">
        <f t="shared" si="3"/>
        <v>0</v>
      </c>
      <c r="D145" s="80">
        <f t="shared" si="2"/>
        <v>0</v>
      </c>
      <c r="E145" s="80"/>
      <c r="F145" s="81"/>
      <c r="G145" s="81"/>
    </row>
    <row r="146" ht="15.75" spans="1:7">
      <c r="A146" s="257" t="s">
        <v>180</v>
      </c>
      <c r="B146" s="317"/>
      <c r="C146" s="79">
        <f t="shared" si="3"/>
        <v>0</v>
      </c>
      <c r="D146" s="80">
        <f t="shared" si="2"/>
        <v>0</v>
      </c>
      <c r="E146" s="80"/>
      <c r="F146" s="81"/>
      <c r="G146" s="81"/>
    </row>
    <row r="147" ht="15.75" spans="1:7">
      <c r="A147" s="257" t="s">
        <v>181</v>
      </c>
      <c r="B147" s="317"/>
      <c r="C147" s="79">
        <f t="shared" si="3"/>
        <v>0</v>
      </c>
      <c r="D147" s="80">
        <f t="shared" si="2"/>
        <v>0</v>
      </c>
      <c r="E147" s="80"/>
      <c r="F147" s="81"/>
      <c r="G147" s="81"/>
    </row>
    <row r="148" ht="15.75" spans="1:7">
      <c r="A148" s="257" t="s">
        <v>182</v>
      </c>
      <c r="B148" s="317"/>
      <c r="C148" s="79">
        <f t="shared" si="3"/>
        <v>0</v>
      </c>
      <c r="D148" s="80">
        <f t="shared" si="2"/>
        <v>0</v>
      </c>
      <c r="E148" s="80"/>
      <c r="F148" s="81"/>
      <c r="G148" s="81"/>
    </row>
    <row r="149" ht="15.75" spans="1:7">
      <c r="A149" s="257" t="s">
        <v>183</v>
      </c>
      <c r="B149" s="317"/>
      <c r="C149" s="79">
        <f t="shared" si="3"/>
        <v>0</v>
      </c>
      <c r="D149" s="80">
        <f t="shared" si="2"/>
        <v>0</v>
      </c>
      <c r="E149" s="80"/>
      <c r="F149" s="81"/>
      <c r="G149" s="81"/>
    </row>
    <row r="150" ht="15.75" spans="1:7">
      <c r="A150" s="257" t="s">
        <v>184</v>
      </c>
      <c r="B150" s="317"/>
      <c r="C150" s="79">
        <f t="shared" si="3"/>
        <v>0</v>
      </c>
      <c r="D150" s="80">
        <f t="shared" si="2"/>
        <v>0</v>
      </c>
      <c r="E150" s="80"/>
      <c r="F150" s="81"/>
      <c r="G150" s="81"/>
    </row>
    <row r="151" ht="15.75" spans="1:7">
      <c r="A151" s="257" t="s">
        <v>185</v>
      </c>
      <c r="B151" s="317"/>
      <c r="C151" s="79">
        <f t="shared" si="3"/>
        <v>0</v>
      </c>
      <c r="D151" s="80">
        <f t="shared" si="2"/>
        <v>0</v>
      </c>
      <c r="E151" s="80"/>
      <c r="F151" s="81"/>
      <c r="G151" s="81"/>
    </row>
    <row r="152" ht="15.75" spans="1:7">
      <c r="A152" s="257" t="s">
        <v>186</v>
      </c>
      <c r="B152" s="317"/>
      <c r="C152" s="79">
        <f t="shared" si="3"/>
        <v>0</v>
      </c>
      <c r="D152" s="80">
        <f t="shared" si="2"/>
        <v>0</v>
      </c>
      <c r="E152" s="80"/>
      <c r="F152" s="81"/>
      <c r="G152" s="81"/>
    </row>
    <row r="153" ht="15.75" spans="1:7">
      <c r="A153" s="257" t="s">
        <v>187</v>
      </c>
      <c r="B153" s="317"/>
      <c r="C153" s="79">
        <f t="shared" si="3"/>
        <v>0</v>
      </c>
      <c r="D153" s="80">
        <f t="shared" si="2"/>
        <v>0</v>
      </c>
      <c r="E153" s="80"/>
      <c r="F153" s="81"/>
      <c r="G153" s="81"/>
    </row>
    <row r="154" ht="15.75" spans="1:7">
      <c r="A154" s="257" t="s">
        <v>188</v>
      </c>
      <c r="B154" s="317"/>
      <c r="C154" s="79">
        <f t="shared" si="3"/>
        <v>0</v>
      </c>
      <c r="D154" s="80">
        <f t="shared" si="2"/>
        <v>0</v>
      </c>
      <c r="E154" s="80"/>
      <c r="F154" s="81"/>
      <c r="G154" s="81"/>
    </row>
    <row r="155" ht="15.75" spans="1:7">
      <c r="A155" s="257" t="s">
        <v>189</v>
      </c>
      <c r="B155" s="317"/>
      <c r="C155" s="79">
        <f t="shared" si="3"/>
        <v>0</v>
      </c>
      <c r="D155" s="80">
        <f t="shared" si="2"/>
        <v>0</v>
      </c>
      <c r="E155" s="80"/>
      <c r="F155" s="81"/>
      <c r="G155" s="81"/>
    </row>
    <row r="156" ht="15.75" spans="1:7">
      <c r="A156" s="257" t="s">
        <v>190</v>
      </c>
      <c r="B156" s="317"/>
      <c r="C156" s="79">
        <f t="shared" si="3"/>
        <v>0</v>
      </c>
      <c r="D156" s="80">
        <f t="shared" si="2"/>
        <v>0</v>
      </c>
      <c r="E156" s="80"/>
      <c r="F156" s="81"/>
      <c r="G156" s="81"/>
    </row>
    <row r="157" ht="15.75" spans="1:7">
      <c r="A157" s="257" t="s">
        <v>191</v>
      </c>
      <c r="B157" s="317"/>
      <c r="C157" s="79">
        <f t="shared" si="3"/>
        <v>0</v>
      </c>
      <c r="D157" s="80">
        <f t="shared" si="2"/>
        <v>0</v>
      </c>
      <c r="E157" s="80"/>
      <c r="F157" s="81"/>
      <c r="G157" s="81"/>
    </row>
    <row r="158" ht="15.75" spans="1:7">
      <c r="A158" s="257" t="s">
        <v>192</v>
      </c>
      <c r="B158" s="317"/>
      <c r="C158" s="79">
        <f t="shared" si="3"/>
        <v>0</v>
      </c>
      <c r="D158" s="80">
        <f t="shared" si="2"/>
        <v>0</v>
      </c>
      <c r="E158" s="80"/>
      <c r="F158" s="81"/>
      <c r="G158" s="81"/>
    </row>
    <row r="159" ht="15.75" spans="1:7">
      <c r="A159" s="257" t="s">
        <v>193</v>
      </c>
      <c r="B159" s="317"/>
      <c r="C159" s="79">
        <f t="shared" si="3"/>
        <v>0</v>
      </c>
      <c r="D159" s="80">
        <f t="shared" si="2"/>
        <v>0</v>
      </c>
      <c r="E159" s="80"/>
      <c r="F159" s="81"/>
      <c r="G159" s="81"/>
    </row>
    <row r="160" ht="15.75" spans="1:7">
      <c r="A160" s="257" t="s">
        <v>194</v>
      </c>
      <c r="B160" s="317"/>
      <c r="C160" s="79">
        <f t="shared" si="3"/>
        <v>0</v>
      </c>
      <c r="D160" s="80">
        <f t="shared" si="2"/>
        <v>0</v>
      </c>
      <c r="E160" s="80"/>
      <c r="F160" s="81"/>
      <c r="G160" s="81"/>
    </row>
    <row r="161" ht="15.75" spans="1:7">
      <c r="A161" s="257" t="s">
        <v>195</v>
      </c>
      <c r="B161" s="317"/>
      <c r="C161" s="79">
        <f t="shared" si="3"/>
        <v>0</v>
      </c>
      <c r="D161" s="80">
        <f t="shared" si="2"/>
        <v>0</v>
      </c>
      <c r="E161" s="80"/>
      <c r="F161" s="81"/>
      <c r="G161" s="81"/>
    </row>
    <row r="162" ht="15.75" spans="1:7">
      <c r="A162" s="257" t="s">
        <v>196</v>
      </c>
      <c r="B162" s="317"/>
      <c r="C162" s="79">
        <f t="shared" si="3"/>
        <v>0</v>
      </c>
      <c r="D162" s="80">
        <f t="shared" si="2"/>
        <v>0</v>
      </c>
      <c r="E162" s="80"/>
      <c r="F162" s="81"/>
      <c r="G162" s="81"/>
    </row>
    <row r="163" ht="15.75" spans="1:7">
      <c r="A163" s="257" t="s">
        <v>197</v>
      </c>
      <c r="B163" s="317"/>
      <c r="C163" s="79">
        <f t="shared" si="3"/>
        <v>0</v>
      </c>
      <c r="D163" s="80">
        <f t="shared" si="2"/>
        <v>0</v>
      </c>
      <c r="E163" s="80"/>
      <c r="F163" s="81"/>
      <c r="G163" s="81"/>
    </row>
    <row r="164" ht="15.75" spans="1:7">
      <c r="A164" s="257" t="s">
        <v>198</v>
      </c>
      <c r="B164" s="317"/>
      <c r="C164" s="79">
        <f t="shared" si="3"/>
        <v>0</v>
      </c>
      <c r="D164" s="80">
        <f t="shared" si="2"/>
        <v>0</v>
      </c>
      <c r="E164" s="80"/>
      <c r="F164" s="81"/>
      <c r="G164" s="81"/>
    </row>
    <row r="165" ht="15.75" spans="1:7">
      <c r="A165" s="257" t="s">
        <v>199</v>
      </c>
      <c r="B165" s="317"/>
      <c r="C165" s="79">
        <f t="shared" si="3"/>
        <v>0</v>
      </c>
      <c r="D165" s="80">
        <f t="shared" si="2"/>
        <v>0</v>
      </c>
      <c r="E165" s="80"/>
      <c r="F165" s="81"/>
      <c r="G165" s="81"/>
    </row>
    <row r="166" ht="15.75" spans="1:7">
      <c r="A166" s="257" t="s">
        <v>200</v>
      </c>
      <c r="B166" s="317"/>
      <c r="C166" s="79">
        <f t="shared" si="3"/>
        <v>0</v>
      </c>
      <c r="D166" s="80">
        <f t="shared" si="2"/>
        <v>0</v>
      </c>
      <c r="E166" s="80"/>
      <c r="F166" s="81"/>
      <c r="G166" s="81"/>
    </row>
    <row r="167" ht="15.75" spans="1:7">
      <c r="A167" s="257" t="s">
        <v>201</v>
      </c>
      <c r="B167" s="317"/>
      <c r="C167" s="79">
        <f t="shared" si="3"/>
        <v>0</v>
      </c>
      <c r="D167" s="80">
        <f t="shared" si="2"/>
        <v>0</v>
      </c>
      <c r="E167" s="80"/>
      <c r="F167" s="81"/>
      <c r="G167" s="81"/>
    </row>
    <row r="168" ht="15.75" spans="1:7">
      <c r="A168" s="257" t="s">
        <v>202</v>
      </c>
      <c r="B168" s="317"/>
      <c r="C168" s="79">
        <f t="shared" si="3"/>
        <v>0</v>
      </c>
      <c r="D168" s="80">
        <f t="shared" si="2"/>
        <v>0</v>
      </c>
      <c r="E168" s="80"/>
      <c r="F168" s="81"/>
      <c r="G168" s="81"/>
    </row>
    <row r="169" ht="15.75" spans="1:7">
      <c r="A169" s="257" t="s">
        <v>203</v>
      </c>
      <c r="B169" s="317"/>
      <c r="C169" s="79">
        <f t="shared" si="3"/>
        <v>0</v>
      </c>
      <c r="D169" s="80">
        <f t="shared" si="2"/>
        <v>0</v>
      </c>
      <c r="E169" s="80"/>
      <c r="F169" s="81"/>
      <c r="G169" s="81"/>
    </row>
    <row r="170" ht="15.75" spans="1:7">
      <c r="A170" s="257" t="s">
        <v>204</v>
      </c>
      <c r="B170" s="317"/>
      <c r="C170" s="79">
        <f t="shared" si="3"/>
        <v>0</v>
      </c>
      <c r="D170" s="80">
        <f t="shared" si="2"/>
        <v>0</v>
      </c>
      <c r="E170" s="80"/>
      <c r="F170" s="81"/>
      <c r="G170" s="81"/>
    </row>
    <row r="171" ht="15.75" spans="1:7">
      <c r="A171" s="257" t="s">
        <v>205</v>
      </c>
      <c r="B171" s="317"/>
      <c r="C171" s="79">
        <f t="shared" si="3"/>
        <v>0</v>
      </c>
      <c r="D171" s="80">
        <f t="shared" si="2"/>
        <v>0</v>
      </c>
      <c r="E171" s="80"/>
      <c r="F171" s="81"/>
      <c r="G171" s="81"/>
    </row>
    <row r="172" ht="15.75" spans="1:7">
      <c r="A172" s="257" t="s">
        <v>206</v>
      </c>
      <c r="B172" s="317"/>
      <c r="C172" s="79">
        <f t="shared" si="3"/>
        <v>0</v>
      </c>
      <c r="D172" s="80">
        <f t="shared" si="2"/>
        <v>0</v>
      </c>
      <c r="E172" s="80"/>
      <c r="F172" s="81"/>
      <c r="G172" s="81"/>
    </row>
    <row r="173" ht="15.75" spans="1:7">
      <c r="A173" s="257" t="s">
        <v>207</v>
      </c>
      <c r="B173" s="317"/>
      <c r="C173" s="79">
        <f t="shared" si="3"/>
        <v>0</v>
      </c>
      <c r="D173" s="80">
        <f t="shared" si="2"/>
        <v>0</v>
      </c>
      <c r="E173" s="80"/>
      <c r="F173" s="81"/>
      <c r="G173" s="81"/>
    </row>
    <row r="174" ht="15.75" spans="1:7">
      <c r="A174" s="257" t="s">
        <v>208</v>
      </c>
      <c r="B174" s="317"/>
      <c r="C174" s="79">
        <f t="shared" si="3"/>
        <v>0</v>
      </c>
      <c r="D174" s="80">
        <f t="shared" si="2"/>
        <v>0</v>
      </c>
      <c r="E174" s="80"/>
      <c r="F174" s="81"/>
      <c r="G174" s="81"/>
    </row>
    <row r="175" ht="15.75" spans="1:7">
      <c r="A175" s="257" t="s">
        <v>209</v>
      </c>
      <c r="B175" s="317"/>
      <c r="C175" s="79">
        <f t="shared" si="3"/>
        <v>0</v>
      </c>
      <c r="D175" s="80">
        <f t="shared" si="2"/>
        <v>0</v>
      </c>
      <c r="E175" s="80"/>
      <c r="F175" s="81"/>
      <c r="G175" s="81"/>
    </row>
    <row r="176" ht="15.75" spans="1:7">
      <c r="A176" s="257" t="s">
        <v>210</v>
      </c>
      <c r="B176" s="317"/>
      <c r="C176" s="79">
        <f t="shared" si="3"/>
        <v>0</v>
      </c>
      <c r="D176" s="80">
        <f t="shared" si="2"/>
        <v>0</v>
      </c>
      <c r="E176" s="80"/>
      <c r="F176" s="81"/>
      <c r="G176" s="81"/>
    </row>
    <row r="177" ht="15.75" spans="1:7">
      <c r="A177" s="257" t="s">
        <v>211</v>
      </c>
      <c r="B177" s="317"/>
      <c r="C177" s="79">
        <f t="shared" si="3"/>
        <v>0</v>
      </c>
      <c r="D177" s="80">
        <f t="shared" si="2"/>
        <v>0</v>
      </c>
      <c r="E177" s="80"/>
      <c r="F177" s="81"/>
      <c r="G177" s="81"/>
    </row>
    <row r="178" ht="15.75" spans="1:7">
      <c r="A178" s="257" t="s">
        <v>212</v>
      </c>
      <c r="B178" s="317"/>
      <c r="C178" s="79">
        <f t="shared" si="3"/>
        <v>0</v>
      </c>
      <c r="D178" s="80">
        <f t="shared" si="2"/>
        <v>0</v>
      </c>
      <c r="E178" s="80"/>
      <c r="F178" s="81"/>
      <c r="G178" s="81"/>
    </row>
    <row r="179" ht="15.75" spans="1:7">
      <c r="A179" s="257" t="s">
        <v>213</v>
      </c>
      <c r="B179" s="317"/>
      <c r="C179" s="79">
        <f t="shared" si="3"/>
        <v>0</v>
      </c>
      <c r="D179" s="80">
        <f t="shared" si="2"/>
        <v>0</v>
      </c>
      <c r="E179" s="80"/>
      <c r="F179" s="81"/>
      <c r="G179" s="81"/>
    </row>
    <row r="180" ht="15.75" spans="1:7">
      <c r="A180" s="257" t="s">
        <v>214</v>
      </c>
      <c r="B180" s="317"/>
      <c r="C180" s="79">
        <f t="shared" si="3"/>
        <v>0</v>
      </c>
      <c r="D180" s="80">
        <f t="shared" si="2"/>
        <v>0</v>
      </c>
      <c r="E180" s="80"/>
      <c r="F180" s="81"/>
      <c r="G180" s="81"/>
    </row>
    <row r="181" ht="15.75" spans="1:7">
      <c r="A181" s="257" t="s">
        <v>215</v>
      </c>
      <c r="B181" s="317"/>
      <c r="C181" s="79">
        <f t="shared" si="3"/>
        <v>0</v>
      </c>
      <c r="D181" s="80">
        <f t="shared" si="2"/>
        <v>0</v>
      </c>
      <c r="E181" s="80"/>
      <c r="F181" s="81"/>
      <c r="G181" s="81"/>
    </row>
    <row r="182" ht="15.75" spans="1:7">
      <c r="A182" s="257" t="s">
        <v>216</v>
      </c>
      <c r="B182" s="317"/>
      <c r="C182" s="79">
        <f t="shared" si="3"/>
        <v>0</v>
      </c>
      <c r="D182" s="80">
        <f t="shared" si="2"/>
        <v>0</v>
      </c>
      <c r="E182" s="80"/>
      <c r="F182" s="81"/>
      <c r="G182" s="81"/>
    </row>
    <row r="183" ht="15.75" spans="1:7">
      <c r="A183" s="257" t="s">
        <v>217</v>
      </c>
      <c r="B183" s="317"/>
      <c r="C183" s="79">
        <f t="shared" si="3"/>
        <v>0</v>
      </c>
      <c r="D183" s="80">
        <f t="shared" si="2"/>
        <v>0</v>
      </c>
      <c r="E183" s="80"/>
      <c r="F183" s="81"/>
      <c r="G183" s="81"/>
    </row>
    <row r="184" ht="15.75" spans="1:7">
      <c r="A184" s="257" t="s">
        <v>218</v>
      </c>
      <c r="B184" s="317"/>
      <c r="C184" s="79">
        <f t="shared" si="3"/>
        <v>0</v>
      </c>
      <c r="D184" s="80">
        <f t="shared" si="2"/>
        <v>0</v>
      </c>
      <c r="E184" s="80"/>
      <c r="F184" s="81"/>
      <c r="G184" s="81"/>
    </row>
    <row r="185" ht="15.75" spans="1:7">
      <c r="A185" s="257" t="s">
        <v>219</v>
      </c>
      <c r="B185" s="317"/>
      <c r="C185" s="79">
        <f t="shared" si="3"/>
        <v>0</v>
      </c>
      <c r="D185" s="80">
        <f t="shared" si="2"/>
        <v>0</v>
      </c>
      <c r="E185" s="80"/>
      <c r="F185" s="81"/>
      <c r="G185" s="81"/>
    </row>
    <row r="186" ht="15.75" spans="1:7">
      <c r="A186" s="257" t="s">
        <v>220</v>
      </c>
      <c r="B186" s="317"/>
      <c r="C186" s="79">
        <f t="shared" si="3"/>
        <v>0</v>
      </c>
      <c r="D186" s="80">
        <f t="shared" si="2"/>
        <v>0</v>
      </c>
      <c r="E186" s="80"/>
      <c r="F186" s="81"/>
      <c r="G186" s="81"/>
    </row>
    <row r="187" ht="15.75" spans="1:7">
      <c r="A187" s="257" t="s">
        <v>221</v>
      </c>
      <c r="B187" s="318"/>
      <c r="C187" s="79">
        <f t="shared" si="3"/>
        <v>0</v>
      </c>
      <c r="D187" s="80">
        <f t="shared" si="2"/>
        <v>0</v>
      </c>
      <c r="E187" s="80"/>
      <c r="F187" s="81"/>
      <c r="G187" s="81"/>
    </row>
    <row r="188" ht="15.75" spans="1:7">
      <c r="A188" s="257" t="s">
        <v>221</v>
      </c>
      <c r="B188" s="319"/>
      <c r="C188" s="79">
        <f t="shared" si="3"/>
        <v>0</v>
      </c>
      <c r="D188" s="260"/>
      <c r="E188" s="72"/>
      <c r="F188" s="73"/>
      <c r="G188" s="84"/>
    </row>
    <row r="189" ht="15.75" spans="1:7">
      <c r="A189" s="257"/>
      <c r="B189" s="257">
        <v>5.4</v>
      </c>
      <c r="C189" s="116"/>
      <c r="D189" s="260"/>
      <c r="E189" s="261"/>
      <c r="F189" s="262"/>
      <c r="G189" s="262"/>
    </row>
    <row r="190" ht="48.75" spans="1:7">
      <c r="A190" s="256" t="s">
        <v>233</v>
      </c>
      <c r="B190" s="257">
        <v>2.4</v>
      </c>
      <c r="C190" s="116"/>
      <c r="D190" s="260"/>
      <c r="E190" s="263"/>
      <c r="F190" s="264"/>
      <c r="G190" s="265"/>
    </row>
    <row r="191" ht="48.75" spans="1:7">
      <c r="A191" s="256" t="s">
        <v>224</v>
      </c>
      <c r="B191" s="116">
        <v>0.3</v>
      </c>
      <c r="C191" s="116"/>
      <c r="D191" s="72"/>
      <c r="E191" s="72"/>
      <c r="F191" s="73"/>
      <c r="G191" s="73"/>
    </row>
    <row r="192" ht="84.75" spans="1:7">
      <c r="A192" s="266" t="s">
        <v>225</v>
      </c>
      <c r="B192" s="116">
        <f>0.6*B190</f>
        <v>1.44</v>
      </c>
      <c r="C192" s="116"/>
      <c r="D192" s="72"/>
      <c r="E192" s="72">
        <f>0.6*E190</f>
        <v>0</v>
      </c>
      <c r="F192" s="73">
        <f>0.6*F190</f>
        <v>0</v>
      </c>
      <c r="G192" s="73"/>
    </row>
    <row r="195" spans="1:3">
      <c r="A195" s="531" t="s">
        <v>226</v>
      </c>
      <c r="B195" s="95" t="e">
        <f>AVERAGE(B143:B182)</f>
        <v>#DIV/0!</v>
      </c>
      <c r="C195" s="95"/>
    </row>
    <row r="196" spans="1:3">
      <c r="A196" s="531" t="s">
        <v>227</v>
      </c>
      <c r="B196" s="96" t="e">
        <f>AVERAGE(B148:B177)</f>
        <v>#DIV/0!</v>
      </c>
      <c r="C196" s="96"/>
    </row>
    <row r="197" spans="1:3">
      <c r="A197" s="531" t="s">
        <v>228</v>
      </c>
      <c r="B197" s="96" t="e">
        <f>AVERAGE(B154:B172)</f>
        <v>#DIV/0!</v>
      </c>
      <c r="C197" s="96"/>
    </row>
    <row r="200" customHeight="1" spans="1:7">
      <c r="A200" s="83" t="s">
        <v>165</v>
      </c>
      <c r="B200" s="83" t="s">
        <v>234</v>
      </c>
      <c r="C200" s="83"/>
      <c r="D200" s="83"/>
      <c r="E200" s="86">
        <f>(1-E255)^(1/3)-1</f>
        <v>-0.0288787744834758</v>
      </c>
      <c r="F200" s="86">
        <f>(1-F255)^(1/3)-1</f>
        <v>-0.0335609517578721</v>
      </c>
      <c r="G200" s="86"/>
    </row>
    <row r="201" ht="72" spans="1:7">
      <c r="A201" s="83"/>
      <c r="B201" s="83" t="s">
        <v>167</v>
      </c>
      <c r="C201" s="83"/>
      <c r="D201" s="83" t="s">
        <v>168</v>
      </c>
      <c r="E201" s="83" t="s">
        <v>169</v>
      </c>
      <c r="F201" s="84" t="s">
        <v>169</v>
      </c>
      <c r="G201" s="84"/>
    </row>
    <row r="202" ht="24" spans="1:7">
      <c r="A202" s="83"/>
      <c r="B202" s="83" t="s">
        <v>235</v>
      </c>
      <c r="C202" s="83"/>
      <c r="D202" s="83" t="s">
        <v>171</v>
      </c>
      <c r="E202" s="534" t="s">
        <v>227</v>
      </c>
      <c r="F202" s="84"/>
      <c r="G202" s="267"/>
    </row>
    <row r="203" spans="1:7">
      <c r="A203" s="75">
        <v>1</v>
      </c>
      <c r="B203" s="76">
        <v>2</v>
      </c>
      <c r="C203" s="76"/>
      <c r="D203" s="76">
        <v>3</v>
      </c>
      <c r="E203" s="76">
        <v>4</v>
      </c>
      <c r="F203" s="77">
        <v>5</v>
      </c>
      <c r="G203" s="77"/>
    </row>
    <row r="204" spans="1:7">
      <c r="A204" s="530" t="s">
        <v>172</v>
      </c>
      <c r="B204" s="103">
        <v>0.106885880278037</v>
      </c>
      <c r="C204" s="89">
        <v>0</v>
      </c>
      <c r="D204" s="80">
        <v>0</v>
      </c>
      <c r="E204" s="80">
        <v>0</v>
      </c>
      <c r="F204" s="81">
        <v>0</v>
      </c>
      <c r="G204" s="81">
        <v>0</v>
      </c>
    </row>
    <row r="205" spans="1:7">
      <c r="A205" s="530" t="s">
        <v>173</v>
      </c>
      <c r="B205" s="103">
        <v>0.136728759345948</v>
      </c>
      <c r="C205" s="79">
        <f>B204</f>
        <v>0.106885880278037</v>
      </c>
      <c r="D205" s="80">
        <v>0</v>
      </c>
      <c r="E205" s="80">
        <v>0</v>
      </c>
      <c r="F205" s="81">
        <v>0</v>
      </c>
      <c r="G205" s="81">
        <v>0</v>
      </c>
    </row>
    <row r="206" spans="1:7">
      <c r="A206" s="530" t="s">
        <v>174</v>
      </c>
      <c r="B206" s="103">
        <v>0.15809252044293</v>
      </c>
      <c r="C206" s="79">
        <f t="shared" ref="C206:C254" si="4">B205</f>
        <v>0.136728759345948</v>
      </c>
      <c r="D206" s="80">
        <v>0</v>
      </c>
      <c r="E206" s="80">
        <v>0</v>
      </c>
      <c r="F206" s="81">
        <v>0</v>
      </c>
      <c r="G206" s="81">
        <v>0</v>
      </c>
    </row>
    <row r="207" spans="1:7">
      <c r="A207" s="530" t="s">
        <v>175</v>
      </c>
      <c r="B207" s="103">
        <v>0.19085143994718</v>
      </c>
      <c r="C207" s="79">
        <f t="shared" si="4"/>
        <v>0.15809252044293</v>
      </c>
      <c r="D207" s="80">
        <v>0</v>
      </c>
      <c r="E207" s="80">
        <v>0</v>
      </c>
      <c r="F207" s="81">
        <v>0</v>
      </c>
      <c r="G207" s="81">
        <v>0</v>
      </c>
    </row>
    <row r="208" spans="1:7">
      <c r="A208" s="530" t="s">
        <v>176</v>
      </c>
      <c r="B208" s="103">
        <v>0.208860566618267</v>
      </c>
      <c r="C208" s="79">
        <f t="shared" si="4"/>
        <v>0.19085143994718</v>
      </c>
      <c r="D208" s="80">
        <v>0</v>
      </c>
      <c r="E208" s="80">
        <v>0</v>
      </c>
      <c r="F208" s="81">
        <v>0</v>
      </c>
      <c r="G208" s="81">
        <v>0</v>
      </c>
    </row>
    <row r="209" spans="1:7">
      <c r="A209" s="530" t="s">
        <v>177</v>
      </c>
      <c r="B209" s="103">
        <v>0.217946364255173</v>
      </c>
      <c r="C209" s="79">
        <f t="shared" si="4"/>
        <v>0.208860566618267</v>
      </c>
      <c r="D209" s="80">
        <v>0</v>
      </c>
      <c r="E209" s="80">
        <v>0</v>
      </c>
      <c r="F209" s="81">
        <v>0</v>
      </c>
      <c r="G209" s="81">
        <v>0</v>
      </c>
    </row>
    <row r="210" spans="1:7">
      <c r="A210" s="530" t="s">
        <v>178</v>
      </c>
      <c r="B210" s="103">
        <v>0.250899690897032</v>
      </c>
      <c r="C210" s="79">
        <f t="shared" si="4"/>
        <v>0.217946364255173</v>
      </c>
      <c r="D210" s="80">
        <v>0</v>
      </c>
      <c r="E210" s="80">
        <v>0</v>
      </c>
      <c r="F210" s="81">
        <v>0</v>
      </c>
      <c r="G210" s="81">
        <v>0</v>
      </c>
    </row>
    <row r="211" spans="1:7">
      <c r="A211" s="78" t="s">
        <v>179</v>
      </c>
      <c r="B211" s="103">
        <v>0.277487647993735</v>
      </c>
      <c r="C211" s="79">
        <f t="shared" si="4"/>
        <v>0.250899690897032</v>
      </c>
      <c r="D211" s="80">
        <v>0</v>
      </c>
      <c r="E211" s="80">
        <v>0</v>
      </c>
      <c r="F211" s="81">
        <v>0</v>
      </c>
      <c r="G211" s="81">
        <v>0</v>
      </c>
    </row>
    <row r="212" spans="1:7">
      <c r="A212" s="78" t="s">
        <v>180</v>
      </c>
      <c r="B212" s="103">
        <v>0.296258089114045</v>
      </c>
      <c r="C212" s="79">
        <f t="shared" si="4"/>
        <v>0.277487647993735</v>
      </c>
      <c r="D212" s="80">
        <v>0</v>
      </c>
      <c r="E212" s="80">
        <v>0</v>
      </c>
      <c r="F212" s="81">
        <v>0</v>
      </c>
      <c r="G212" s="81">
        <v>0</v>
      </c>
    </row>
    <row r="213" spans="1:7">
      <c r="A213" s="78" t="s">
        <v>181</v>
      </c>
      <c r="B213" s="103">
        <v>0.316099751254837</v>
      </c>
      <c r="C213" s="79">
        <f t="shared" si="4"/>
        <v>0.296258089114045</v>
      </c>
      <c r="D213" s="80">
        <v>0</v>
      </c>
      <c r="E213" s="80">
        <v>0</v>
      </c>
      <c r="F213" s="81">
        <v>0</v>
      </c>
      <c r="G213" s="81">
        <v>0</v>
      </c>
    </row>
    <row r="214" spans="1:7">
      <c r="A214" s="78" t="s">
        <v>182</v>
      </c>
      <c r="B214" s="103">
        <v>0.32331394096124</v>
      </c>
      <c r="C214" s="79">
        <f t="shared" si="4"/>
        <v>0.316099751254837</v>
      </c>
      <c r="D214" s="80">
        <v>0</v>
      </c>
      <c r="E214" s="80">
        <v>0</v>
      </c>
      <c r="F214" s="81">
        <v>0</v>
      </c>
      <c r="G214" s="81">
        <v>0</v>
      </c>
    </row>
    <row r="215" spans="1:7">
      <c r="A215" s="78" t="s">
        <v>183</v>
      </c>
      <c r="B215" s="103">
        <v>0.332691246448256</v>
      </c>
      <c r="C215" s="79">
        <f t="shared" si="4"/>
        <v>0.32331394096124</v>
      </c>
      <c r="D215" s="80">
        <v>0</v>
      </c>
      <c r="E215" s="80">
        <v>0</v>
      </c>
      <c r="F215" s="81">
        <v>0</v>
      </c>
      <c r="G215" s="81">
        <v>0</v>
      </c>
    </row>
    <row r="216" spans="1:7">
      <c r="A216" s="78" t="s">
        <v>184</v>
      </c>
      <c r="B216" s="103">
        <v>0.340554640832334</v>
      </c>
      <c r="C216" s="79">
        <f t="shared" si="4"/>
        <v>0.332691246448256</v>
      </c>
      <c r="D216" s="80">
        <v>0</v>
      </c>
      <c r="E216" s="80">
        <v>0</v>
      </c>
      <c r="F216" s="81">
        <v>0</v>
      </c>
      <c r="G216" s="81">
        <v>0</v>
      </c>
    </row>
    <row r="217" spans="1:7">
      <c r="A217" s="78" t="s">
        <v>185</v>
      </c>
      <c r="B217" s="103">
        <v>0.349265219807758</v>
      </c>
      <c r="C217" s="79">
        <f t="shared" si="4"/>
        <v>0.340554640832334</v>
      </c>
      <c r="D217" s="80">
        <v>0</v>
      </c>
      <c r="E217" s="80">
        <v>0</v>
      </c>
      <c r="F217" s="81">
        <v>0</v>
      </c>
      <c r="G217" s="81">
        <v>0</v>
      </c>
    </row>
    <row r="218" spans="1:7">
      <c r="A218" s="78" t="s">
        <v>186</v>
      </c>
      <c r="B218" s="103">
        <v>0.363755413947646</v>
      </c>
      <c r="C218" s="79">
        <f t="shared" si="4"/>
        <v>0.349265219807758</v>
      </c>
      <c r="D218" s="80">
        <v>0</v>
      </c>
      <c r="E218" s="80"/>
      <c r="F218" s="81"/>
      <c r="G218" s="81"/>
    </row>
    <row r="219" spans="1:7">
      <c r="A219" s="78" t="s">
        <v>187</v>
      </c>
      <c r="B219" s="103">
        <v>0.380922534066903</v>
      </c>
      <c r="C219" s="79">
        <f t="shared" si="4"/>
        <v>0.363755413947646</v>
      </c>
      <c r="D219" s="80">
        <v>0</v>
      </c>
      <c r="E219" s="80"/>
      <c r="F219" s="81"/>
      <c r="G219" s="81"/>
    </row>
    <row r="220" spans="1:7">
      <c r="A220" s="78" t="s">
        <v>188</v>
      </c>
      <c r="B220" s="103">
        <v>0.398527219763175</v>
      </c>
      <c r="C220" s="79">
        <f t="shared" si="4"/>
        <v>0.380922534066903</v>
      </c>
      <c r="D220" s="80">
        <v>0</v>
      </c>
      <c r="E220" s="80"/>
      <c r="F220" s="81"/>
      <c r="G220" s="81"/>
    </row>
    <row r="221" spans="1:7">
      <c r="A221" s="78" t="s">
        <v>189</v>
      </c>
      <c r="B221" s="103">
        <v>0.417842073538276</v>
      </c>
      <c r="C221" s="79">
        <f t="shared" si="4"/>
        <v>0.398527219763175</v>
      </c>
      <c r="D221" s="80">
        <v>0</v>
      </c>
      <c r="E221" s="80"/>
      <c r="F221" s="81"/>
      <c r="G221" s="81"/>
    </row>
    <row r="222" spans="1:7">
      <c r="A222" s="78" t="s">
        <v>190</v>
      </c>
      <c r="B222" s="103">
        <v>0.427881419386964</v>
      </c>
      <c r="C222" s="79">
        <f t="shared" si="4"/>
        <v>0.417842073538276</v>
      </c>
      <c r="D222" s="80">
        <v>0</v>
      </c>
      <c r="E222" s="80"/>
      <c r="F222" s="81"/>
      <c r="G222" s="81"/>
    </row>
    <row r="223" spans="1:7">
      <c r="A223" s="78" t="s">
        <v>191</v>
      </c>
      <c r="B223" s="103">
        <v>0.438058050540629</v>
      </c>
      <c r="C223" s="79">
        <f t="shared" si="4"/>
        <v>0.427881419386964</v>
      </c>
      <c r="D223" s="80">
        <v>0.00868885177668932</v>
      </c>
      <c r="E223" s="80"/>
      <c r="F223" s="81"/>
      <c r="G223" s="81"/>
    </row>
    <row r="224" spans="1:7">
      <c r="A224" s="78" t="s">
        <v>192</v>
      </c>
      <c r="B224" s="103">
        <v>0.45152327401235</v>
      </c>
      <c r="C224" s="79">
        <f t="shared" si="4"/>
        <v>0.438058050540629</v>
      </c>
      <c r="D224" s="80">
        <v>0.0382515053741874</v>
      </c>
      <c r="E224" s="80"/>
      <c r="F224" s="81"/>
      <c r="G224" s="81"/>
    </row>
    <row r="225" spans="1:7">
      <c r="A225" s="78" t="s">
        <v>193</v>
      </c>
      <c r="B225" s="103">
        <v>0.494110306605882</v>
      </c>
      <c r="C225" s="79">
        <f t="shared" si="4"/>
        <v>0.45152327401235</v>
      </c>
      <c r="D225" s="80">
        <v>0.121143956593746</v>
      </c>
      <c r="E225" s="80">
        <v>0.0121143956593747</v>
      </c>
      <c r="F225" s="81">
        <v>0.0237764269790727</v>
      </c>
      <c r="G225" s="81">
        <v>0</v>
      </c>
    </row>
    <row r="226" spans="1:7">
      <c r="A226" s="78" t="s">
        <v>194</v>
      </c>
      <c r="B226" s="103">
        <v>0.505489630548494</v>
      </c>
      <c r="C226" s="79">
        <f t="shared" si="4"/>
        <v>0.494110306605882</v>
      </c>
      <c r="D226" s="80">
        <v>0.140928314199639</v>
      </c>
      <c r="E226" s="80">
        <v>0.0140928314199639</v>
      </c>
      <c r="F226" s="81">
        <v>0.0254923330571604</v>
      </c>
      <c r="G226" s="81">
        <v>0</v>
      </c>
    </row>
    <row r="227" spans="1:7">
      <c r="A227" s="78" t="s">
        <v>195</v>
      </c>
      <c r="B227" s="103">
        <v>0.508091808399861</v>
      </c>
      <c r="C227" s="79">
        <f t="shared" si="4"/>
        <v>0.505489630548494</v>
      </c>
      <c r="D227" s="80">
        <v>0.145328025583624</v>
      </c>
      <c r="E227" s="80">
        <v>0.0145328025583624</v>
      </c>
      <c r="F227" s="81">
        <v>0.0258739219697751</v>
      </c>
      <c r="G227" s="81">
        <v>0</v>
      </c>
    </row>
    <row r="228" spans="1:7">
      <c r="A228" s="78" t="s">
        <v>196</v>
      </c>
      <c r="B228" s="103">
        <v>0.518213443160462</v>
      </c>
      <c r="C228" s="79">
        <f t="shared" si="4"/>
        <v>0.508091808399861</v>
      </c>
      <c r="D228" s="80">
        <v>0.162021296820291</v>
      </c>
      <c r="E228" s="80">
        <v>0.0162021296820291</v>
      </c>
      <c r="F228" s="81">
        <v>0.0273217367610742</v>
      </c>
      <c r="G228" s="81">
        <v>0</v>
      </c>
    </row>
    <row r="229" spans="1:7">
      <c r="A229" s="78" t="s">
        <v>197</v>
      </c>
      <c r="B229" s="103">
        <v>0.534437492332229</v>
      </c>
      <c r="C229" s="79">
        <f t="shared" si="4"/>
        <v>0.518213443160462</v>
      </c>
      <c r="D229" s="80">
        <v>0.187460020488333</v>
      </c>
      <c r="E229" s="80">
        <v>0.0187460020488333</v>
      </c>
      <c r="F229" s="81">
        <v>0.0295280485064597</v>
      </c>
      <c r="G229" s="81">
        <v>0</v>
      </c>
    </row>
    <row r="230" spans="1:7">
      <c r="A230" s="78" t="s">
        <v>198</v>
      </c>
      <c r="B230" s="103">
        <v>0.54877502686781</v>
      </c>
      <c r="C230" s="79">
        <f t="shared" si="4"/>
        <v>0.534437492332229</v>
      </c>
      <c r="D230" s="80">
        <v>0.208688792658017</v>
      </c>
      <c r="E230" s="80">
        <v>0.0208688792658017</v>
      </c>
      <c r="F230" s="81">
        <v>0.0313692292979679</v>
      </c>
      <c r="G230" s="81">
        <v>0</v>
      </c>
    </row>
    <row r="231" spans="1:7">
      <c r="A231" s="78" t="s">
        <v>199</v>
      </c>
      <c r="B231" s="103">
        <v>0.557821953327571</v>
      </c>
      <c r="C231" s="79">
        <f t="shared" si="4"/>
        <v>0.54877502686781</v>
      </c>
      <c r="D231" s="80">
        <v>0.22152251900547</v>
      </c>
      <c r="E231" s="80">
        <v>0.022152251900547</v>
      </c>
      <c r="F231" s="81">
        <v>0.0324823040554495</v>
      </c>
      <c r="G231" s="81">
        <v>0</v>
      </c>
    </row>
    <row r="232" spans="1:7">
      <c r="A232" s="78" t="s">
        <v>200</v>
      </c>
      <c r="B232" s="103">
        <v>0.574604058299711</v>
      </c>
      <c r="C232" s="79">
        <f t="shared" si="4"/>
        <v>0.557821953327571</v>
      </c>
      <c r="D232" s="80">
        <v>0.244259028808682</v>
      </c>
      <c r="E232" s="80">
        <v>0.0244259028808682</v>
      </c>
      <c r="F232" s="81">
        <v>0.0344542515981997</v>
      </c>
      <c r="G232" s="81">
        <v>0</v>
      </c>
    </row>
    <row r="233" spans="1:7">
      <c r="A233" s="78" t="s">
        <v>201</v>
      </c>
      <c r="B233" s="103">
        <v>0.623261320803835</v>
      </c>
      <c r="C233" s="79">
        <f t="shared" si="4"/>
        <v>0.574604058299711</v>
      </c>
      <c r="D233" s="80">
        <v>0.303258818452216</v>
      </c>
      <c r="E233" s="80">
        <v>0.0303258818452216</v>
      </c>
      <c r="F233" s="81">
        <v>0.0395713294266496</v>
      </c>
      <c r="G233" s="81">
        <v>0</v>
      </c>
    </row>
    <row r="234" spans="1:7">
      <c r="A234" s="78" t="s">
        <v>202</v>
      </c>
      <c r="B234" s="103">
        <v>0.684364708788552</v>
      </c>
      <c r="C234" s="79">
        <f t="shared" si="4"/>
        <v>0.623261320803835</v>
      </c>
      <c r="D234" s="80">
        <v>0.365467237726797</v>
      </c>
      <c r="E234" s="80">
        <v>0.0365467237726797</v>
      </c>
      <c r="F234" s="81">
        <v>0.0698001587255763</v>
      </c>
      <c r="G234" s="81">
        <v>0</v>
      </c>
    </row>
    <row r="235" spans="1:7">
      <c r="A235" s="78" t="s">
        <v>203</v>
      </c>
      <c r="B235" s="103">
        <v>0.714183548708688</v>
      </c>
      <c r="C235" s="79">
        <f t="shared" si="4"/>
        <v>0.684364708788552</v>
      </c>
      <c r="D235" s="80">
        <v>0.391960470308978</v>
      </c>
      <c r="E235" s="80">
        <v>0.0391960470308978</v>
      </c>
      <c r="F235" s="81">
        <v>0.083586777342624</v>
      </c>
      <c r="G235" s="81">
        <v>0</v>
      </c>
    </row>
    <row r="236" spans="1:7">
      <c r="A236" s="78" t="s">
        <v>204</v>
      </c>
      <c r="B236" s="103">
        <v>0.772401495528078</v>
      </c>
      <c r="C236" s="79">
        <f t="shared" si="4"/>
        <v>0.714183548708688</v>
      </c>
      <c r="D236" s="80">
        <v>0.437790020366279</v>
      </c>
      <c r="E236" s="80">
        <v>0.0626740122197676</v>
      </c>
      <c r="F236" s="81">
        <v>0.107435680116983</v>
      </c>
      <c r="G236" s="81">
        <v>0</v>
      </c>
    </row>
    <row r="237" spans="1:7">
      <c r="A237" s="78" t="s">
        <v>205</v>
      </c>
      <c r="B237" s="103">
        <v>0.804233208353491</v>
      </c>
      <c r="C237" s="79">
        <f t="shared" si="4"/>
        <v>0.772401495528078</v>
      </c>
      <c r="D237" s="80">
        <v>0.460042404915185</v>
      </c>
      <c r="E237" s="80">
        <v>0.076025442949111</v>
      </c>
      <c r="F237" s="81">
        <v>0.119015434990007</v>
      </c>
      <c r="G237" s="81">
        <v>0</v>
      </c>
    </row>
    <row r="238" spans="1:7">
      <c r="A238" s="78" t="s">
        <v>206</v>
      </c>
      <c r="B238" s="103">
        <v>0.89387421590745</v>
      </c>
      <c r="C238" s="79">
        <f t="shared" si="4"/>
        <v>0.804233208353491</v>
      </c>
      <c r="D238" s="80">
        <v>0.514191346677285</v>
      </c>
      <c r="E238" s="80">
        <v>0.108514808006371</v>
      </c>
      <c r="F238" s="81">
        <v>0.147193604878302</v>
      </c>
      <c r="G238" s="81">
        <v>0</v>
      </c>
    </row>
    <row r="239" spans="1:7">
      <c r="A239" s="78" t="s">
        <v>207</v>
      </c>
      <c r="B239" s="103">
        <v>0.988617886178862</v>
      </c>
      <c r="C239" s="79">
        <f t="shared" si="4"/>
        <v>0.89387421590745</v>
      </c>
      <c r="D239" s="80">
        <v>0.560748561055944</v>
      </c>
      <c r="E239" s="80">
        <v>0.136449136633566</v>
      </c>
      <c r="F239" s="81">
        <v>0.171421171541587</v>
      </c>
      <c r="G239" s="81">
        <v>0</v>
      </c>
    </row>
    <row r="240" spans="1:7">
      <c r="A240" s="78" t="s">
        <v>208</v>
      </c>
      <c r="B240" s="103">
        <v>1.03612278782729</v>
      </c>
      <c r="C240" s="79">
        <f t="shared" si="4"/>
        <v>0.988617886178862</v>
      </c>
      <c r="D240" s="80">
        <v>0.580887676468822</v>
      </c>
      <c r="E240" s="80">
        <v>0.148532605881293</v>
      </c>
      <c r="F240" s="81">
        <v>0.181901217818341</v>
      </c>
      <c r="G240" s="81">
        <v>0</v>
      </c>
    </row>
    <row r="241" spans="1:7">
      <c r="A241" s="78" t="s">
        <v>209</v>
      </c>
      <c r="B241" s="103">
        <v>1.13173398322126</v>
      </c>
      <c r="C241" s="79">
        <f t="shared" si="4"/>
        <v>1.03612278782729</v>
      </c>
      <c r="D241" s="80">
        <v>0.616295140458817</v>
      </c>
      <c r="E241" s="80">
        <v>0.16977708427529</v>
      </c>
      <c r="F241" s="81">
        <v>0.200326647811178</v>
      </c>
      <c r="G241" s="81">
        <v>0</v>
      </c>
    </row>
    <row r="242" spans="1:7">
      <c r="A242" s="78" t="s">
        <v>210</v>
      </c>
      <c r="B242" s="103">
        <v>1.28078471859815</v>
      </c>
      <c r="C242" s="79">
        <f t="shared" si="4"/>
        <v>1.13173398322126</v>
      </c>
      <c r="D242" s="80">
        <v>0.660948617855782</v>
      </c>
      <c r="E242" s="80">
        <v>0.196569170713469</v>
      </c>
      <c r="F242" s="81">
        <v>0.223563542776233</v>
      </c>
      <c r="G242" s="81">
        <v>0</v>
      </c>
    </row>
    <row r="243" spans="1:7">
      <c r="A243" s="78" t="s">
        <v>211</v>
      </c>
      <c r="B243" s="103">
        <v>1.43596989121989</v>
      </c>
      <c r="C243" s="79">
        <f t="shared" si="4"/>
        <v>1.28078471859815</v>
      </c>
      <c r="D243" s="80">
        <v>0.69758987864224</v>
      </c>
      <c r="E243" s="80">
        <v>0.218553927185344</v>
      </c>
      <c r="F243" s="81">
        <v>0.242631019217385</v>
      </c>
      <c r="G243" s="81">
        <v>0</v>
      </c>
    </row>
    <row r="244" spans="1:7">
      <c r="A244" s="78" t="s">
        <v>212</v>
      </c>
      <c r="B244" s="103">
        <v>1.5400365140919</v>
      </c>
      <c r="C244" s="79">
        <f t="shared" si="4"/>
        <v>1.43596989121989</v>
      </c>
      <c r="D244" s="80">
        <v>0.718024978566201</v>
      </c>
      <c r="E244" s="80">
        <v>0.230814987139721</v>
      </c>
      <c r="F244" s="81">
        <v>0.253265090698809</v>
      </c>
      <c r="G244" s="81">
        <v>0</v>
      </c>
    </row>
    <row r="245" spans="1:7">
      <c r="A245" s="78" t="s">
        <v>213</v>
      </c>
      <c r="B245" s="103">
        <v>1.64775491981857</v>
      </c>
      <c r="C245" s="79">
        <f t="shared" si="4"/>
        <v>1.5400365140919</v>
      </c>
      <c r="D245" s="80">
        <v>0.736458484300741</v>
      </c>
      <c r="E245" s="80">
        <v>0.241875090580444</v>
      </c>
      <c r="F245" s="81">
        <v>0.262857567288781</v>
      </c>
      <c r="G245" s="81">
        <v>0</v>
      </c>
    </row>
    <row r="246" spans="1:7">
      <c r="A246" s="78" t="s">
        <v>214</v>
      </c>
      <c r="B246" s="103">
        <v>1.75476353198469</v>
      </c>
      <c r="C246" s="79">
        <f t="shared" si="4"/>
        <v>1.64775491981857</v>
      </c>
      <c r="D246" s="80">
        <v>0.752529716309556</v>
      </c>
      <c r="E246" s="80">
        <v>0.251517829785734</v>
      </c>
      <c r="F246" s="81">
        <v>0.271220757613871</v>
      </c>
      <c r="G246" s="81">
        <v>0</v>
      </c>
    </row>
    <row r="247" spans="1:7">
      <c r="A247" s="78" t="s">
        <v>215</v>
      </c>
      <c r="B247" s="103">
        <v>1.86421567274253</v>
      </c>
      <c r="C247" s="79">
        <f t="shared" si="4"/>
        <v>1.75476353198469</v>
      </c>
      <c r="D247" s="80">
        <v>0.767059232781232</v>
      </c>
      <c r="E247" s="80">
        <v>0.260235539668739</v>
      </c>
      <c r="F247" s="81">
        <v>0.278781665919935</v>
      </c>
      <c r="G247" s="81">
        <v>0</v>
      </c>
    </row>
    <row r="248" spans="1:7">
      <c r="A248" s="78" t="s">
        <v>216</v>
      </c>
      <c r="B248" s="103">
        <v>1.95323323785748</v>
      </c>
      <c r="C248" s="79">
        <f t="shared" si="4"/>
        <v>1.86421567274253</v>
      </c>
      <c r="D248" s="80">
        <v>0.77767538425353</v>
      </c>
      <c r="E248" s="80">
        <v>0.266605230552118</v>
      </c>
      <c r="F248" s="81">
        <v>0.284306126971465</v>
      </c>
      <c r="G248" s="81">
        <v>0</v>
      </c>
    </row>
    <row r="249" spans="1:7">
      <c r="A249" s="78" t="s">
        <v>217</v>
      </c>
      <c r="B249" s="103">
        <v>2.21301614569418</v>
      </c>
      <c r="C249" s="79">
        <f t="shared" si="4"/>
        <v>1.95323323785748</v>
      </c>
      <c r="D249" s="80">
        <v>0.803773763731995</v>
      </c>
      <c r="E249" s="80">
        <v>0.282264258239197</v>
      </c>
      <c r="F249" s="81">
        <v>0.297887270883461</v>
      </c>
      <c r="G249" s="81">
        <v>0</v>
      </c>
    </row>
    <row r="250" spans="1:7">
      <c r="A250" s="78" t="s">
        <v>218</v>
      </c>
      <c r="B250" s="103">
        <v>2.77184271882147</v>
      </c>
      <c r="C250" s="79">
        <f t="shared" si="4"/>
        <v>2.21301614569418</v>
      </c>
      <c r="D250" s="80">
        <v>0.843334606930897</v>
      </c>
      <c r="E250" s="80">
        <v>0.306000764158538</v>
      </c>
      <c r="F250" s="81">
        <v>0.318474047361577</v>
      </c>
      <c r="G250" s="81">
        <v>0</v>
      </c>
    </row>
    <row r="251" spans="1:7">
      <c r="A251" s="78" t="s">
        <v>219</v>
      </c>
      <c r="B251" s="103">
        <v>3.34343273634434</v>
      </c>
      <c r="C251" s="79">
        <f t="shared" si="4"/>
        <v>2.77184271882147</v>
      </c>
      <c r="D251" s="80">
        <v>0.870117970566771</v>
      </c>
      <c r="E251" s="80">
        <v>0.322070782340063</v>
      </c>
      <c r="F251" s="81">
        <v>0.332411645145618</v>
      </c>
      <c r="G251" s="81">
        <v>0.0138609857858559</v>
      </c>
    </row>
    <row r="252" spans="1:7">
      <c r="A252" s="78" t="s">
        <v>220</v>
      </c>
      <c r="B252" s="103">
        <v>3.69668160335295</v>
      </c>
      <c r="C252" s="79">
        <f t="shared" si="4"/>
        <v>3.34343273634434</v>
      </c>
      <c r="D252" s="80">
        <v>0.882529285541924</v>
      </c>
      <c r="E252" s="80">
        <v>0.329517571325155</v>
      </c>
      <c r="F252" s="81">
        <v>0.338870278140581</v>
      </c>
      <c r="G252" s="81">
        <v>0.0220922895445528</v>
      </c>
    </row>
    <row r="253" spans="1:7">
      <c r="A253" s="78" t="s">
        <v>221</v>
      </c>
      <c r="B253" s="314">
        <v>4.82740953095417</v>
      </c>
      <c r="C253" s="79">
        <f t="shared" si="4"/>
        <v>3.69668160335295</v>
      </c>
      <c r="D253" s="80">
        <v>0.910044543292754</v>
      </c>
      <c r="E253" s="80">
        <v>0.346026725975652</v>
      </c>
      <c r="F253" s="81">
        <v>0.353188740924756</v>
      </c>
      <c r="G253" s="81">
        <v>0.0420440426858812</v>
      </c>
    </row>
    <row r="254" spans="1:7">
      <c r="A254" s="78" t="s">
        <v>221</v>
      </c>
      <c r="B254" s="78" t="s">
        <v>356</v>
      </c>
      <c r="C254" s="79">
        <f t="shared" si="4"/>
        <v>4.82740953095417</v>
      </c>
      <c r="D254" s="117"/>
      <c r="E254" s="83"/>
      <c r="F254" s="84"/>
      <c r="G254" s="84"/>
    </row>
    <row r="255" spans="1:7">
      <c r="A255" s="78"/>
      <c r="B255" s="78">
        <v>5.4</v>
      </c>
      <c r="C255" s="78"/>
      <c r="D255" s="117"/>
      <c r="E255" s="85">
        <v>0.0841584570281848</v>
      </c>
      <c r="F255" s="86">
        <v>0.0973416437828601</v>
      </c>
      <c r="G255" s="86">
        <v>0.0015599463603258</v>
      </c>
    </row>
    <row r="256" ht="48" spans="1:7">
      <c r="A256" s="87" t="s">
        <v>233</v>
      </c>
      <c r="B256" s="78">
        <v>4.8</v>
      </c>
      <c r="C256" s="78"/>
      <c r="D256" s="117"/>
      <c r="E256" s="127">
        <v>0.723753048449827</v>
      </c>
      <c r="F256" s="128">
        <v>0.627714217266103</v>
      </c>
      <c r="G256" s="129">
        <v>4.8</v>
      </c>
    </row>
    <row r="257" ht="48" spans="1:7">
      <c r="A257" s="87" t="s">
        <v>224</v>
      </c>
      <c r="B257" s="78">
        <v>0.946</v>
      </c>
      <c r="C257" s="78"/>
      <c r="D257" s="83"/>
      <c r="E257" s="83"/>
      <c r="F257" s="84"/>
      <c r="G257" s="84"/>
    </row>
    <row r="258" ht="84" spans="1:7">
      <c r="A258" s="106" t="s">
        <v>225</v>
      </c>
      <c r="B258" s="78">
        <v>2.88</v>
      </c>
      <c r="C258" s="78"/>
      <c r="D258" s="83"/>
      <c r="E258" s="83">
        <v>0.434251829069896</v>
      </c>
      <c r="F258" s="84">
        <v>0.376628530359662</v>
      </c>
      <c r="G258" s="84">
        <v>2.88</v>
      </c>
    </row>
    <row r="261" spans="1:3">
      <c r="A261" s="531" t="s">
        <v>226</v>
      </c>
      <c r="B261" s="95">
        <f>AVERAGE(B209:B248)</f>
        <v>0.723753048449827</v>
      </c>
      <c r="C261" s="95"/>
    </row>
    <row r="262" spans="1:3">
      <c r="A262" s="531" t="s">
        <v>227</v>
      </c>
      <c r="B262" s="96">
        <f>AVERAGE(B214:B243)</f>
        <v>0.627714217266103</v>
      </c>
      <c r="C262" s="96"/>
    </row>
    <row r="263" spans="1:3">
      <c r="A263" s="531" t="s">
        <v>228</v>
      </c>
      <c r="B263" s="96">
        <f>AVERAGE(B220:B238)</f>
        <v>0.571983908151237</v>
      </c>
      <c r="C263" s="96"/>
    </row>
    <row r="267" ht="15.75" spans="3:3">
      <c r="C267" s="130"/>
    </row>
    <row r="270" spans="3:3">
      <c r="C270">
        <v>0</v>
      </c>
    </row>
    <row r="271" spans="3:3">
      <c r="C271" s="79">
        <f>B270</f>
        <v>0</v>
      </c>
    </row>
    <row r="272" spans="3:3">
      <c r="C272" s="79">
        <f t="shared" ref="C272:C320" si="5">B271</f>
        <v>0</v>
      </c>
    </row>
    <row r="273" spans="3:3">
      <c r="C273" s="79">
        <f t="shared" si="5"/>
        <v>0</v>
      </c>
    </row>
    <row r="274" spans="3:3">
      <c r="C274" s="79">
        <f t="shared" si="5"/>
        <v>0</v>
      </c>
    </row>
    <row r="275" spans="3:3">
      <c r="C275" s="79">
        <f t="shared" si="5"/>
        <v>0</v>
      </c>
    </row>
    <row r="276" spans="3:3">
      <c r="C276" s="79">
        <f t="shared" si="5"/>
        <v>0</v>
      </c>
    </row>
    <row r="277" spans="3:3">
      <c r="C277" s="79">
        <f t="shared" si="5"/>
        <v>0</v>
      </c>
    </row>
    <row r="278" spans="3:3">
      <c r="C278" s="79">
        <f t="shared" si="5"/>
        <v>0</v>
      </c>
    </row>
    <row r="279" spans="3:3">
      <c r="C279" s="79">
        <f t="shared" si="5"/>
        <v>0</v>
      </c>
    </row>
    <row r="280" spans="3:3">
      <c r="C280" s="79">
        <f t="shared" si="5"/>
        <v>0</v>
      </c>
    </row>
    <row r="281" spans="3:3">
      <c r="C281" s="79">
        <f t="shared" si="5"/>
        <v>0</v>
      </c>
    </row>
    <row r="282" spans="3:3">
      <c r="C282" s="79">
        <f t="shared" si="5"/>
        <v>0</v>
      </c>
    </row>
    <row r="283" spans="3:3">
      <c r="C283" s="79">
        <f t="shared" si="5"/>
        <v>0</v>
      </c>
    </row>
    <row r="284" spans="3:3">
      <c r="C284" s="79">
        <f t="shared" si="5"/>
        <v>0</v>
      </c>
    </row>
    <row r="285" spans="3:3">
      <c r="C285" s="79">
        <f t="shared" si="5"/>
        <v>0</v>
      </c>
    </row>
    <row r="286" spans="3:3">
      <c r="C286" s="79">
        <f t="shared" si="5"/>
        <v>0</v>
      </c>
    </row>
    <row r="287" spans="3:3">
      <c r="C287" s="79">
        <f t="shared" si="5"/>
        <v>0</v>
      </c>
    </row>
    <row r="288" spans="3:3">
      <c r="C288" s="79">
        <f t="shared" si="5"/>
        <v>0</v>
      </c>
    </row>
    <row r="289" spans="3:3">
      <c r="C289" s="79">
        <f t="shared" si="5"/>
        <v>0</v>
      </c>
    </row>
    <row r="290" spans="3:3">
      <c r="C290" s="79">
        <f t="shared" si="5"/>
        <v>0</v>
      </c>
    </row>
    <row r="291" spans="3:3">
      <c r="C291" s="79">
        <f t="shared" si="5"/>
        <v>0</v>
      </c>
    </row>
    <row r="292" spans="3:3">
      <c r="C292" s="79">
        <f t="shared" si="5"/>
        <v>0</v>
      </c>
    </row>
    <row r="293" spans="3:3">
      <c r="C293" s="79">
        <f t="shared" si="5"/>
        <v>0</v>
      </c>
    </row>
    <row r="294" spans="3:3">
      <c r="C294" s="79">
        <f t="shared" si="5"/>
        <v>0</v>
      </c>
    </row>
    <row r="295" spans="3:3">
      <c r="C295" s="79">
        <f t="shared" si="5"/>
        <v>0</v>
      </c>
    </row>
    <row r="296" spans="3:3">
      <c r="C296" s="79">
        <f t="shared" si="5"/>
        <v>0</v>
      </c>
    </row>
    <row r="297" spans="3:3">
      <c r="C297" s="79">
        <f t="shared" si="5"/>
        <v>0</v>
      </c>
    </row>
    <row r="298" spans="3:3">
      <c r="C298" s="79">
        <f t="shared" si="5"/>
        <v>0</v>
      </c>
    </row>
    <row r="299" spans="3:3">
      <c r="C299" s="79">
        <f t="shared" si="5"/>
        <v>0</v>
      </c>
    </row>
    <row r="300" spans="3:3">
      <c r="C300" s="79">
        <f t="shared" si="5"/>
        <v>0</v>
      </c>
    </row>
    <row r="301" spans="3:3">
      <c r="C301" s="79">
        <f t="shared" si="5"/>
        <v>0</v>
      </c>
    </row>
    <row r="302" spans="3:3">
      <c r="C302" s="79">
        <f t="shared" si="5"/>
        <v>0</v>
      </c>
    </row>
    <row r="303" spans="3:3">
      <c r="C303" s="79">
        <f t="shared" si="5"/>
        <v>0</v>
      </c>
    </row>
    <row r="304" spans="3:3">
      <c r="C304" s="79">
        <f t="shared" si="5"/>
        <v>0</v>
      </c>
    </row>
    <row r="305" spans="3:3">
      <c r="C305" s="79">
        <f t="shared" si="5"/>
        <v>0</v>
      </c>
    </row>
    <row r="306" spans="3:3">
      <c r="C306" s="79">
        <f t="shared" si="5"/>
        <v>0</v>
      </c>
    </row>
    <row r="307" spans="3:3">
      <c r="C307" s="79">
        <f t="shared" si="5"/>
        <v>0</v>
      </c>
    </row>
    <row r="308" spans="3:3">
      <c r="C308" s="79">
        <f t="shared" si="5"/>
        <v>0</v>
      </c>
    </row>
    <row r="309" spans="3:3">
      <c r="C309" s="79">
        <f t="shared" si="5"/>
        <v>0</v>
      </c>
    </row>
    <row r="310" spans="3:3">
      <c r="C310" s="79">
        <f t="shared" si="5"/>
        <v>0</v>
      </c>
    </row>
    <row r="311" spans="3:3">
      <c r="C311" s="79">
        <f t="shared" si="5"/>
        <v>0</v>
      </c>
    </row>
    <row r="312" spans="3:3">
      <c r="C312" s="79">
        <f t="shared" si="5"/>
        <v>0</v>
      </c>
    </row>
    <row r="313" spans="3:3">
      <c r="C313" s="79">
        <f t="shared" si="5"/>
        <v>0</v>
      </c>
    </row>
    <row r="314" spans="3:3">
      <c r="C314" s="79">
        <f t="shared" si="5"/>
        <v>0</v>
      </c>
    </row>
    <row r="315" spans="3:3">
      <c r="C315" s="79">
        <f t="shared" si="5"/>
        <v>0</v>
      </c>
    </row>
    <row r="316" spans="3:3">
      <c r="C316" s="79">
        <f t="shared" si="5"/>
        <v>0</v>
      </c>
    </row>
    <row r="317" spans="3:3">
      <c r="C317" s="79">
        <f t="shared" si="5"/>
        <v>0</v>
      </c>
    </row>
    <row r="318" spans="3:3">
      <c r="C318" s="79">
        <f t="shared" si="5"/>
        <v>0</v>
      </c>
    </row>
    <row r="319" spans="3:3">
      <c r="C319" s="79">
        <f t="shared" si="5"/>
        <v>0</v>
      </c>
    </row>
    <row r="320" spans="3:3">
      <c r="C320" s="79">
        <f t="shared" si="5"/>
        <v>0</v>
      </c>
    </row>
    <row r="336" ht="15.75" spans="3:3">
      <c r="C336" s="131"/>
    </row>
    <row r="337" spans="3:3">
      <c r="C337">
        <v>0</v>
      </c>
    </row>
    <row r="338" spans="3:3">
      <c r="C338" s="79">
        <f>B337</f>
        <v>0</v>
      </c>
    </row>
    <row r="339" spans="3:3">
      <c r="C339" s="79">
        <f t="shared" ref="C339:C387" si="6">B338</f>
        <v>0</v>
      </c>
    </row>
    <row r="340" spans="3:3">
      <c r="C340" s="79">
        <f t="shared" si="6"/>
        <v>0</v>
      </c>
    </row>
    <row r="341" spans="3:3">
      <c r="C341" s="79">
        <f t="shared" si="6"/>
        <v>0</v>
      </c>
    </row>
    <row r="342" spans="3:3">
      <c r="C342" s="79">
        <f t="shared" si="6"/>
        <v>0</v>
      </c>
    </row>
    <row r="343" spans="3:3">
      <c r="C343" s="79">
        <f t="shared" si="6"/>
        <v>0</v>
      </c>
    </row>
    <row r="344" spans="3:3">
      <c r="C344" s="79">
        <f t="shared" si="6"/>
        <v>0</v>
      </c>
    </row>
    <row r="345" spans="3:3">
      <c r="C345" s="79">
        <f t="shared" si="6"/>
        <v>0</v>
      </c>
    </row>
    <row r="346" spans="3:3">
      <c r="C346" s="79">
        <f t="shared" si="6"/>
        <v>0</v>
      </c>
    </row>
    <row r="347" spans="3:3">
      <c r="C347" s="79">
        <f t="shared" si="6"/>
        <v>0</v>
      </c>
    </row>
    <row r="348" spans="3:3">
      <c r="C348" s="79">
        <f t="shared" si="6"/>
        <v>0</v>
      </c>
    </row>
    <row r="349" spans="3:3">
      <c r="C349" s="79">
        <f t="shared" si="6"/>
        <v>0</v>
      </c>
    </row>
    <row r="350" spans="3:3">
      <c r="C350" s="79">
        <f t="shared" si="6"/>
        <v>0</v>
      </c>
    </row>
    <row r="351" spans="3:3">
      <c r="C351" s="79">
        <f t="shared" si="6"/>
        <v>0</v>
      </c>
    </row>
    <row r="352" spans="3:3">
      <c r="C352" s="79">
        <f t="shared" si="6"/>
        <v>0</v>
      </c>
    </row>
    <row r="353" spans="3:3">
      <c r="C353" s="79">
        <f t="shared" si="6"/>
        <v>0</v>
      </c>
    </row>
    <row r="354" spans="3:3">
      <c r="C354" s="79">
        <f t="shared" si="6"/>
        <v>0</v>
      </c>
    </row>
    <row r="355" spans="3:3">
      <c r="C355" s="79">
        <f t="shared" si="6"/>
        <v>0</v>
      </c>
    </row>
    <row r="356" spans="3:3">
      <c r="C356" s="79">
        <f t="shared" si="6"/>
        <v>0</v>
      </c>
    </row>
    <row r="357" spans="3:3">
      <c r="C357" s="79">
        <f t="shared" si="6"/>
        <v>0</v>
      </c>
    </row>
    <row r="358" spans="3:3">
      <c r="C358" s="79">
        <f t="shared" si="6"/>
        <v>0</v>
      </c>
    </row>
    <row r="359" spans="3:3">
      <c r="C359" s="79">
        <f t="shared" si="6"/>
        <v>0</v>
      </c>
    </row>
    <row r="360" spans="3:3">
      <c r="C360" s="79">
        <f t="shared" si="6"/>
        <v>0</v>
      </c>
    </row>
    <row r="361" spans="3:3">
      <c r="C361" s="79">
        <f t="shared" si="6"/>
        <v>0</v>
      </c>
    </row>
    <row r="362" spans="3:3">
      <c r="C362" s="79">
        <f t="shared" si="6"/>
        <v>0</v>
      </c>
    </row>
    <row r="363" spans="3:3">
      <c r="C363" s="79">
        <f t="shared" si="6"/>
        <v>0</v>
      </c>
    </row>
    <row r="364" spans="3:3">
      <c r="C364" s="79">
        <f t="shared" si="6"/>
        <v>0</v>
      </c>
    </row>
    <row r="365" spans="3:3">
      <c r="C365" s="79">
        <f t="shared" si="6"/>
        <v>0</v>
      </c>
    </row>
    <row r="366" spans="3:3">
      <c r="C366" s="79">
        <f t="shared" si="6"/>
        <v>0</v>
      </c>
    </row>
    <row r="367" spans="3:3">
      <c r="C367" s="79">
        <f t="shared" si="6"/>
        <v>0</v>
      </c>
    </row>
    <row r="368" spans="3:3">
      <c r="C368" s="79">
        <f t="shared" si="6"/>
        <v>0</v>
      </c>
    </row>
    <row r="369" spans="3:3">
      <c r="C369" s="79">
        <f t="shared" si="6"/>
        <v>0</v>
      </c>
    </row>
    <row r="370" spans="3:3">
      <c r="C370" s="79">
        <f t="shared" si="6"/>
        <v>0</v>
      </c>
    </row>
    <row r="371" spans="3:3">
      <c r="C371" s="79">
        <f t="shared" si="6"/>
        <v>0</v>
      </c>
    </row>
    <row r="372" spans="3:3">
      <c r="C372" s="79">
        <f t="shared" si="6"/>
        <v>0</v>
      </c>
    </row>
    <row r="373" spans="3:3">
      <c r="C373" s="79">
        <f t="shared" si="6"/>
        <v>0</v>
      </c>
    </row>
    <row r="374" spans="3:3">
      <c r="C374" s="79">
        <f t="shared" si="6"/>
        <v>0</v>
      </c>
    </row>
    <row r="375" spans="3:3">
      <c r="C375" s="79">
        <f t="shared" si="6"/>
        <v>0</v>
      </c>
    </row>
    <row r="376" spans="3:3">
      <c r="C376" s="79">
        <f t="shared" si="6"/>
        <v>0</v>
      </c>
    </row>
    <row r="377" spans="3:3">
      <c r="C377" s="79">
        <f t="shared" si="6"/>
        <v>0</v>
      </c>
    </row>
    <row r="378" spans="3:3">
      <c r="C378" s="79">
        <f t="shared" si="6"/>
        <v>0</v>
      </c>
    </row>
    <row r="379" spans="3:3">
      <c r="C379" s="79">
        <f t="shared" si="6"/>
        <v>0</v>
      </c>
    </row>
    <row r="380" spans="3:3">
      <c r="C380" s="79">
        <f t="shared" si="6"/>
        <v>0</v>
      </c>
    </row>
    <row r="381" spans="3:3">
      <c r="C381" s="79">
        <f t="shared" si="6"/>
        <v>0</v>
      </c>
    </row>
    <row r="382" spans="3:3">
      <c r="C382" s="79">
        <f t="shared" si="6"/>
        <v>0</v>
      </c>
    </row>
    <row r="383" spans="3:3">
      <c r="C383" s="79">
        <f t="shared" si="6"/>
        <v>0</v>
      </c>
    </row>
    <row r="384" spans="3:3">
      <c r="C384" s="79">
        <f t="shared" si="6"/>
        <v>0</v>
      </c>
    </row>
    <row r="385" spans="3:3">
      <c r="C385" s="79">
        <f t="shared" si="6"/>
        <v>0</v>
      </c>
    </row>
    <row r="386" spans="3:3">
      <c r="C386" s="79">
        <f t="shared" si="6"/>
        <v>0</v>
      </c>
    </row>
    <row r="387" spans="3:3">
      <c r="C387" s="79">
        <f t="shared" si="6"/>
        <v>0</v>
      </c>
    </row>
    <row r="402" spans="3:3">
      <c r="C402">
        <v>0</v>
      </c>
    </row>
    <row r="403" spans="3:3">
      <c r="C403" s="79">
        <f>B402</f>
        <v>0</v>
      </c>
    </row>
    <row r="404" spans="3:3">
      <c r="C404" s="79">
        <f t="shared" ref="C404:C452" si="7">B403</f>
        <v>0</v>
      </c>
    </row>
    <row r="405" spans="3:3">
      <c r="C405" s="79">
        <f t="shared" si="7"/>
        <v>0</v>
      </c>
    </row>
    <row r="406" spans="3:3">
      <c r="C406" s="79">
        <f t="shared" si="7"/>
        <v>0</v>
      </c>
    </row>
    <row r="407" spans="3:3">
      <c r="C407" s="79">
        <f t="shared" si="7"/>
        <v>0</v>
      </c>
    </row>
    <row r="408" spans="3:3">
      <c r="C408" s="79">
        <f t="shared" si="7"/>
        <v>0</v>
      </c>
    </row>
    <row r="409" spans="3:3">
      <c r="C409" s="79">
        <f t="shared" si="7"/>
        <v>0</v>
      </c>
    </row>
    <row r="410" spans="3:3">
      <c r="C410" s="79">
        <f t="shared" si="7"/>
        <v>0</v>
      </c>
    </row>
    <row r="411" spans="3:3">
      <c r="C411" s="79">
        <f t="shared" si="7"/>
        <v>0</v>
      </c>
    </row>
    <row r="412" spans="3:3">
      <c r="C412" s="79">
        <f t="shared" si="7"/>
        <v>0</v>
      </c>
    </row>
    <row r="413" spans="3:3">
      <c r="C413" s="79">
        <f t="shared" si="7"/>
        <v>0</v>
      </c>
    </row>
    <row r="414" spans="3:3">
      <c r="C414" s="79">
        <f t="shared" si="7"/>
        <v>0</v>
      </c>
    </row>
    <row r="415" spans="3:3">
      <c r="C415" s="79">
        <f t="shared" si="7"/>
        <v>0</v>
      </c>
    </row>
    <row r="416" spans="3:3">
      <c r="C416" s="79">
        <f t="shared" si="7"/>
        <v>0</v>
      </c>
    </row>
    <row r="417" spans="3:3">
      <c r="C417" s="79">
        <f t="shared" si="7"/>
        <v>0</v>
      </c>
    </row>
    <row r="418" spans="3:3">
      <c r="C418" s="79">
        <f t="shared" si="7"/>
        <v>0</v>
      </c>
    </row>
    <row r="419" spans="3:3">
      <c r="C419" s="79">
        <f t="shared" si="7"/>
        <v>0</v>
      </c>
    </row>
    <row r="420" spans="3:3">
      <c r="C420" s="79">
        <f t="shared" si="7"/>
        <v>0</v>
      </c>
    </row>
    <row r="421" spans="3:3">
      <c r="C421" s="79">
        <f t="shared" si="7"/>
        <v>0</v>
      </c>
    </row>
    <row r="422" spans="3:3">
      <c r="C422" s="79">
        <f t="shared" si="7"/>
        <v>0</v>
      </c>
    </row>
    <row r="423" spans="3:3">
      <c r="C423" s="79">
        <f t="shared" si="7"/>
        <v>0</v>
      </c>
    </row>
    <row r="424" spans="3:3">
      <c r="C424" s="79">
        <f t="shared" si="7"/>
        <v>0</v>
      </c>
    </row>
    <row r="425" spans="3:3">
      <c r="C425" s="79">
        <f t="shared" si="7"/>
        <v>0</v>
      </c>
    </row>
    <row r="426" spans="3:3">
      <c r="C426" s="79">
        <f t="shared" si="7"/>
        <v>0</v>
      </c>
    </row>
    <row r="427" spans="3:3">
      <c r="C427" s="79">
        <f t="shared" si="7"/>
        <v>0</v>
      </c>
    </row>
    <row r="428" spans="3:3">
      <c r="C428" s="79">
        <f t="shared" si="7"/>
        <v>0</v>
      </c>
    </row>
    <row r="429" spans="3:3">
      <c r="C429" s="79">
        <f t="shared" si="7"/>
        <v>0</v>
      </c>
    </row>
    <row r="430" spans="3:3">
      <c r="C430" s="79">
        <f t="shared" si="7"/>
        <v>0</v>
      </c>
    </row>
    <row r="431" spans="3:3">
      <c r="C431" s="79">
        <f t="shared" si="7"/>
        <v>0</v>
      </c>
    </row>
    <row r="432" spans="3:3">
      <c r="C432" s="79">
        <f t="shared" si="7"/>
        <v>0</v>
      </c>
    </row>
    <row r="433" spans="3:3">
      <c r="C433" s="79">
        <f t="shared" si="7"/>
        <v>0</v>
      </c>
    </row>
    <row r="434" spans="3:3">
      <c r="C434" s="79">
        <f t="shared" si="7"/>
        <v>0</v>
      </c>
    </row>
    <row r="435" spans="3:3">
      <c r="C435" s="79">
        <f t="shared" si="7"/>
        <v>0</v>
      </c>
    </row>
    <row r="436" spans="3:3">
      <c r="C436" s="79">
        <f t="shared" si="7"/>
        <v>0</v>
      </c>
    </row>
    <row r="437" spans="3:3">
      <c r="C437" s="79">
        <f t="shared" si="7"/>
        <v>0</v>
      </c>
    </row>
    <row r="438" spans="3:3">
      <c r="C438" s="79">
        <f t="shared" si="7"/>
        <v>0</v>
      </c>
    </row>
    <row r="439" spans="3:3">
      <c r="C439" s="79">
        <f t="shared" si="7"/>
        <v>0</v>
      </c>
    </row>
    <row r="440" spans="3:3">
      <c r="C440" s="79">
        <f t="shared" si="7"/>
        <v>0</v>
      </c>
    </row>
    <row r="441" spans="3:3">
      <c r="C441" s="79">
        <f t="shared" si="7"/>
        <v>0</v>
      </c>
    </row>
    <row r="442" spans="3:3">
      <c r="C442" s="79">
        <f t="shared" si="7"/>
        <v>0</v>
      </c>
    </row>
    <row r="443" spans="3:3">
      <c r="C443" s="79">
        <f t="shared" si="7"/>
        <v>0</v>
      </c>
    </row>
    <row r="444" spans="3:3">
      <c r="C444" s="79">
        <f t="shared" si="7"/>
        <v>0</v>
      </c>
    </row>
    <row r="445" spans="3:3">
      <c r="C445" s="79">
        <f t="shared" si="7"/>
        <v>0</v>
      </c>
    </row>
    <row r="446" spans="3:3">
      <c r="C446" s="79">
        <f t="shared" si="7"/>
        <v>0</v>
      </c>
    </row>
    <row r="447" spans="3:3">
      <c r="C447" s="79">
        <f t="shared" si="7"/>
        <v>0</v>
      </c>
    </row>
    <row r="448" spans="3:3">
      <c r="C448" s="79">
        <f t="shared" si="7"/>
        <v>0</v>
      </c>
    </row>
    <row r="449" spans="3:3">
      <c r="C449" s="79">
        <f t="shared" si="7"/>
        <v>0</v>
      </c>
    </row>
    <row r="450" spans="3:3">
      <c r="C450" s="79">
        <f t="shared" si="7"/>
        <v>0</v>
      </c>
    </row>
    <row r="451" spans="3:3">
      <c r="C451" s="79">
        <f t="shared" si="7"/>
        <v>0</v>
      </c>
    </row>
    <row r="452" spans="3:3">
      <c r="C452" s="79">
        <f t="shared" si="7"/>
        <v>0</v>
      </c>
    </row>
  </sheetData>
  <mergeCells count="8">
    <mergeCell ref="B2:D2"/>
    <mergeCell ref="B69:D69"/>
    <mergeCell ref="B134:D134"/>
    <mergeCell ref="B200:D200"/>
    <mergeCell ref="A2:A4"/>
    <mergeCell ref="A69:A71"/>
    <mergeCell ref="A134:A136"/>
    <mergeCell ref="A200:A202"/>
  </mergeCells>
  <pageMargins left="0.7" right="0.7" top="0.75" bottom="0.75" header="0.3" footer="0.3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Лист6">
    <tabColor rgb="FF92D050"/>
  </sheetPr>
  <dimension ref="A1:G452"/>
  <sheetViews>
    <sheetView topLeftCell="A340" workbookViewId="0">
      <selection activeCell="E20" sqref="E20:H21"/>
    </sheetView>
  </sheetViews>
  <sheetFormatPr defaultColWidth="8.72380952380952" defaultRowHeight="15" outlineLevelCol="6"/>
  <cols>
    <col min="3" max="3" width="9.18095238095238"/>
    <col min="5" max="5" width="9.45714285714286" customWidth="1"/>
    <col min="6" max="6" width="8.72380952380952" style="64"/>
    <col min="7" max="7" width="9.45714285714286" style="64" customWidth="1"/>
  </cols>
  <sheetData>
    <row r="1" ht="15.75" spans="4:5">
      <c r="D1" s="65">
        <v>0.1</v>
      </c>
      <c r="E1" s="65">
        <v>0.4</v>
      </c>
    </row>
    <row r="2" ht="23.25" customHeight="1" spans="1:7">
      <c r="A2" s="252" t="s">
        <v>165</v>
      </c>
      <c r="B2" s="67" t="s">
        <v>166</v>
      </c>
      <c r="C2" s="68"/>
      <c r="D2" s="69"/>
      <c r="E2" s="70">
        <f>(1-E57)^(1/3)-1</f>
        <v>-0.0294544567664268</v>
      </c>
      <c r="F2" s="70">
        <f>(1-F57)^(1/3)-1</f>
        <v>-0.0322882405112327</v>
      </c>
      <c r="G2" s="70"/>
    </row>
    <row r="3" ht="72.75" spans="1:7">
      <c r="A3" s="253"/>
      <c r="B3" s="72" t="s">
        <v>167</v>
      </c>
      <c r="C3" s="72"/>
      <c r="D3" s="72" t="s">
        <v>168</v>
      </c>
      <c r="E3" s="72" t="s">
        <v>169</v>
      </c>
      <c r="F3" s="73" t="s">
        <v>169</v>
      </c>
      <c r="G3" s="73"/>
    </row>
    <row r="4" ht="16.5" customHeight="1" spans="1:7">
      <c r="A4" s="254"/>
      <c r="B4" s="72" t="s">
        <v>170</v>
      </c>
      <c r="C4" s="72"/>
      <c r="D4" s="72" t="s">
        <v>171</v>
      </c>
      <c r="E4" s="72" t="s">
        <v>171</v>
      </c>
      <c r="F4" s="73" t="s">
        <v>171</v>
      </c>
      <c r="G4" s="73"/>
    </row>
    <row r="5" ht="15.75" spans="1:7">
      <c r="A5" s="75">
        <v>1</v>
      </c>
      <c r="B5" s="76">
        <v>2</v>
      </c>
      <c r="C5" s="76"/>
      <c r="D5" s="76">
        <v>3</v>
      </c>
      <c r="E5" s="76">
        <v>4</v>
      </c>
      <c r="F5" s="77">
        <v>5</v>
      </c>
      <c r="G5" s="77"/>
    </row>
    <row r="6" spans="1:7">
      <c r="A6" s="530" t="s">
        <v>172</v>
      </c>
      <c r="B6" s="173">
        <v>0.616990866497722</v>
      </c>
      <c r="C6" s="79">
        <v>0</v>
      </c>
      <c r="D6" s="80">
        <v>0</v>
      </c>
      <c r="E6" s="80">
        <v>0</v>
      </c>
      <c r="F6" s="81">
        <v>0</v>
      </c>
      <c r="G6" s="81">
        <v>0</v>
      </c>
    </row>
    <row r="7" spans="1:7">
      <c r="A7" s="530" t="s">
        <v>173</v>
      </c>
      <c r="B7" s="178">
        <v>0.929931791697992</v>
      </c>
      <c r="C7" s="79">
        <f>B6</f>
        <v>0.616990866497722</v>
      </c>
      <c r="D7" s="80">
        <v>0</v>
      </c>
      <c r="E7" s="80">
        <v>0</v>
      </c>
      <c r="F7" s="81">
        <v>0</v>
      </c>
      <c r="G7" s="81">
        <v>0</v>
      </c>
    </row>
    <row r="8" spans="1:7">
      <c r="A8" s="530" t="s">
        <v>174</v>
      </c>
      <c r="B8" s="178">
        <v>1.2122582255137</v>
      </c>
      <c r="C8" s="79">
        <f t="shared" ref="C8:C56" si="0">B7</f>
        <v>0.929931791697992</v>
      </c>
      <c r="D8" s="80">
        <v>0</v>
      </c>
      <c r="E8" s="80">
        <v>0</v>
      </c>
      <c r="F8" s="81">
        <v>0</v>
      </c>
      <c r="G8" s="81">
        <v>0</v>
      </c>
    </row>
    <row r="9" spans="1:7">
      <c r="A9" s="530" t="s">
        <v>175</v>
      </c>
      <c r="B9" s="178">
        <v>1.50020601262053</v>
      </c>
      <c r="C9" s="79">
        <f t="shared" si="0"/>
        <v>1.2122582255137</v>
      </c>
      <c r="D9" s="80">
        <v>0</v>
      </c>
      <c r="E9" s="80">
        <v>0</v>
      </c>
      <c r="F9" s="81">
        <v>0</v>
      </c>
      <c r="G9" s="81">
        <v>0</v>
      </c>
    </row>
    <row r="10" spans="1:7">
      <c r="A10" s="530" t="s">
        <v>176</v>
      </c>
      <c r="B10" s="178">
        <v>1.80962996543353</v>
      </c>
      <c r="C10" s="79">
        <f t="shared" si="0"/>
        <v>1.50020601262053</v>
      </c>
      <c r="D10" s="80">
        <v>0</v>
      </c>
      <c r="E10" s="80">
        <v>0</v>
      </c>
      <c r="F10" s="81">
        <v>0</v>
      </c>
      <c r="G10" s="81">
        <v>0</v>
      </c>
    </row>
    <row r="11" spans="1:7">
      <c r="A11" s="530" t="s">
        <v>177</v>
      </c>
      <c r="B11" s="178">
        <v>2.0954112525932</v>
      </c>
      <c r="C11" s="79">
        <f t="shared" si="0"/>
        <v>1.80962996543353</v>
      </c>
      <c r="D11" s="80">
        <v>0</v>
      </c>
      <c r="E11" s="80">
        <v>0</v>
      </c>
      <c r="F11" s="81">
        <v>0</v>
      </c>
      <c r="G11" s="81">
        <v>0</v>
      </c>
    </row>
    <row r="12" spans="1:7">
      <c r="A12" s="530" t="s">
        <v>178</v>
      </c>
      <c r="B12" s="178">
        <v>2.41061218754489</v>
      </c>
      <c r="C12" s="79">
        <f t="shared" si="0"/>
        <v>2.0954112525932</v>
      </c>
      <c r="D12" s="80">
        <v>0</v>
      </c>
      <c r="E12" s="80">
        <v>0</v>
      </c>
      <c r="F12" s="81">
        <v>0</v>
      </c>
      <c r="G12" s="81">
        <v>0</v>
      </c>
    </row>
    <row r="13" spans="1:7">
      <c r="A13" s="78" t="s">
        <v>179</v>
      </c>
      <c r="B13" s="178">
        <v>2.63982363804794</v>
      </c>
      <c r="C13" s="79">
        <f t="shared" si="0"/>
        <v>2.41061218754489</v>
      </c>
      <c r="D13" s="80">
        <v>0</v>
      </c>
      <c r="E13" s="80">
        <v>0</v>
      </c>
      <c r="F13" s="81">
        <v>0</v>
      </c>
      <c r="G13" s="81">
        <v>0</v>
      </c>
    </row>
    <row r="14" spans="1:7">
      <c r="A14" s="78" t="s">
        <v>180</v>
      </c>
      <c r="B14" s="178">
        <v>2.7797022401815</v>
      </c>
      <c r="C14" s="79">
        <f t="shared" si="0"/>
        <v>2.63982363804794</v>
      </c>
      <c r="D14" s="80">
        <v>0</v>
      </c>
      <c r="E14" s="80">
        <v>0</v>
      </c>
      <c r="F14" s="81">
        <v>0</v>
      </c>
      <c r="G14" s="81">
        <v>0</v>
      </c>
    </row>
    <row r="15" spans="1:7">
      <c r="A15" s="78" t="s">
        <v>181</v>
      </c>
      <c r="B15" s="178">
        <v>3.00437356592897</v>
      </c>
      <c r="C15" s="79">
        <f t="shared" si="0"/>
        <v>2.7797022401815</v>
      </c>
      <c r="D15" s="80">
        <v>0</v>
      </c>
      <c r="E15" s="80">
        <v>0</v>
      </c>
      <c r="F15" s="81">
        <v>0</v>
      </c>
      <c r="G15" s="81">
        <v>0</v>
      </c>
    </row>
    <row r="16" spans="1:7">
      <c r="A16" s="78" t="s">
        <v>182</v>
      </c>
      <c r="B16" s="178">
        <v>3.20995595596176</v>
      </c>
      <c r="C16" s="79">
        <f t="shared" si="0"/>
        <v>3.00437356592897</v>
      </c>
      <c r="D16" s="80">
        <v>0</v>
      </c>
      <c r="E16" s="80">
        <v>0</v>
      </c>
      <c r="F16" s="81">
        <v>0</v>
      </c>
      <c r="G16" s="81">
        <v>0</v>
      </c>
    </row>
    <row r="17" spans="1:7">
      <c r="A17" s="78" t="s">
        <v>183</v>
      </c>
      <c r="B17" s="178">
        <v>3.3454117541887</v>
      </c>
      <c r="C17" s="79">
        <f t="shared" si="0"/>
        <v>3.20995595596176</v>
      </c>
      <c r="D17" s="80">
        <v>0</v>
      </c>
      <c r="E17" s="80">
        <v>0</v>
      </c>
      <c r="F17" s="81">
        <v>0</v>
      </c>
      <c r="G17" s="81">
        <v>0</v>
      </c>
    </row>
    <row r="18" spans="1:7">
      <c r="A18" s="78" t="s">
        <v>184</v>
      </c>
      <c r="B18" s="178">
        <v>3.6504224807416</v>
      </c>
      <c r="C18" s="79">
        <f t="shared" si="0"/>
        <v>3.3454117541887</v>
      </c>
      <c r="D18" s="80">
        <v>0</v>
      </c>
      <c r="E18" s="80">
        <v>0</v>
      </c>
      <c r="F18" s="81">
        <v>0.00478858137069009</v>
      </c>
      <c r="G18" s="81">
        <v>0</v>
      </c>
    </row>
    <row r="19" spans="1:7">
      <c r="A19" s="78" t="s">
        <v>185</v>
      </c>
      <c r="B19" s="178">
        <v>3.72442859684483</v>
      </c>
      <c r="C19" s="79">
        <f t="shared" si="0"/>
        <v>3.6504224807416</v>
      </c>
      <c r="D19" s="80">
        <v>0</v>
      </c>
      <c r="E19" s="80">
        <v>0</v>
      </c>
      <c r="F19" s="81">
        <v>0.00668047622602516</v>
      </c>
      <c r="G19" s="81">
        <v>0</v>
      </c>
    </row>
    <row r="20" spans="1:7">
      <c r="A20" s="78" t="s">
        <v>186</v>
      </c>
      <c r="B20" s="178">
        <v>3.88295376062499</v>
      </c>
      <c r="C20" s="79">
        <f t="shared" si="0"/>
        <v>3.72442859684483</v>
      </c>
      <c r="D20" s="80">
        <v>0.038900269729017</v>
      </c>
      <c r="E20" s="80"/>
      <c r="F20" s="81"/>
      <c r="G20" s="81"/>
    </row>
    <row r="21" spans="1:7">
      <c r="A21" s="78" t="s">
        <v>187</v>
      </c>
      <c r="B21" s="178">
        <v>4.00853646498976</v>
      </c>
      <c r="C21" s="79">
        <f t="shared" si="0"/>
        <v>3.88295376062499</v>
      </c>
      <c r="D21" s="80">
        <v>0.0690103870613251</v>
      </c>
      <c r="E21" s="80"/>
      <c r="F21" s="81"/>
      <c r="G21" s="81"/>
    </row>
    <row r="22" spans="1:7">
      <c r="A22" s="78" t="s">
        <v>188</v>
      </c>
      <c r="B22" s="178">
        <v>4.23549951503395</v>
      </c>
      <c r="C22" s="79">
        <f t="shared" si="0"/>
        <v>4.00853646498976</v>
      </c>
      <c r="D22" s="80">
        <v>0.118898302609894</v>
      </c>
      <c r="E22" s="80">
        <v>0.0118898302609894</v>
      </c>
      <c r="F22" s="81">
        <v>0.0179407525006063</v>
      </c>
      <c r="G22" s="81">
        <v>0</v>
      </c>
    </row>
    <row r="23" spans="1:7">
      <c r="A23" s="78" t="s">
        <v>189</v>
      </c>
      <c r="B23" s="178">
        <v>4.38596405574018</v>
      </c>
      <c r="C23" s="79">
        <f t="shared" si="0"/>
        <v>4.23549951503395</v>
      </c>
      <c r="D23" s="80">
        <v>0.149125308697592</v>
      </c>
      <c r="E23" s="80">
        <v>0.0149125308697592</v>
      </c>
      <c r="F23" s="81">
        <v>0.0207558706431127</v>
      </c>
      <c r="G23" s="81">
        <v>0</v>
      </c>
    </row>
    <row r="24" spans="1:7">
      <c r="A24" s="78" t="s">
        <v>190</v>
      </c>
      <c r="B24" s="178">
        <v>4.54183567963096</v>
      </c>
      <c r="C24" s="79">
        <f t="shared" si="0"/>
        <v>4.38596405574018</v>
      </c>
      <c r="D24" s="80">
        <v>0.178326545645831</v>
      </c>
      <c r="E24" s="80">
        <v>0.0178326545645831</v>
      </c>
      <c r="F24" s="81">
        <v>0.0234754562904016</v>
      </c>
      <c r="G24" s="81">
        <v>0</v>
      </c>
    </row>
    <row r="25" spans="1:7">
      <c r="A25" s="78" t="s">
        <v>191</v>
      </c>
      <c r="B25" s="178">
        <v>4.68599111695522</v>
      </c>
      <c r="C25" s="79">
        <f t="shared" si="0"/>
        <v>4.54183567963096</v>
      </c>
      <c r="D25" s="80">
        <v>0.203603737427434</v>
      </c>
      <c r="E25" s="80">
        <v>0.0203603737427434</v>
      </c>
      <c r="F25" s="81">
        <v>0.0258295856067339</v>
      </c>
      <c r="G25" s="81">
        <v>0</v>
      </c>
    </row>
    <row r="26" spans="1:7">
      <c r="A26" s="78" t="s">
        <v>192</v>
      </c>
      <c r="B26" s="178">
        <v>4.86259856545696</v>
      </c>
      <c r="C26" s="79">
        <f t="shared" si="0"/>
        <v>4.68599111695522</v>
      </c>
      <c r="D26" s="80">
        <v>0.232528500604146</v>
      </c>
      <c r="E26" s="80">
        <v>0.0232528500604146</v>
      </c>
      <c r="F26" s="81">
        <v>0.028523422546794</v>
      </c>
      <c r="G26" s="81">
        <v>0</v>
      </c>
    </row>
    <row r="27" spans="1:7">
      <c r="A27" s="78" t="s">
        <v>193</v>
      </c>
      <c r="B27" s="178">
        <v>5.0454703304634</v>
      </c>
      <c r="C27" s="79">
        <f t="shared" si="0"/>
        <v>4.86259856545696</v>
      </c>
      <c r="D27" s="80">
        <v>0.260345306272245</v>
      </c>
      <c r="E27" s="80">
        <v>0.0260345306272245</v>
      </c>
      <c r="F27" s="81">
        <v>0.0311140725792731</v>
      </c>
      <c r="G27" s="81">
        <v>0</v>
      </c>
    </row>
    <row r="28" spans="1:7">
      <c r="A28" s="78" t="s">
        <v>194</v>
      </c>
      <c r="B28" s="178">
        <v>5.12471123928076</v>
      </c>
      <c r="C28" s="79">
        <f t="shared" si="0"/>
        <v>5.0454703304634</v>
      </c>
      <c r="D28" s="80">
        <v>0.271782225818611</v>
      </c>
      <c r="E28" s="80">
        <v>0.0271782225818611</v>
      </c>
      <c r="F28" s="81">
        <v>0.0321792220557363</v>
      </c>
      <c r="G28" s="81">
        <v>0</v>
      </c>
    </row>
    <row r="29" spans="1:7">
      <c r="A29" s="78" t="s">
        <v>195</v>
      </c>
      <c r="B29" s="178">
        <v>5.30300795792527</v>
      </c>
      <c r="C29" s="79">
        <f t="shared" si="0"/>
        <v>5.12471123928076</v>
      </c>
      <c r="D29" s="80">
        <v>0.296266224452086</v>
      </c>
      <c r="E29" s="80">
        <v>0.0296266224452086</v>
      </c>
      <c r="F29" s="81">
        <v>0.0344594792718901</v>
      </c>
      <c r="G29" s="81">
        <v>0</v>
      </c>
    </row>
    <row r="30" spans="1:7">
      <c r="A30" s="78" t="s">
        <v>196</v>
      </c>
      <c r="B30" s="178">
        <v>5.3920289716716</v>
      </c>
      <c r="C30" s="79">
        <f t="shared" si="0"/>
        <v>5.30300795792527</v>
      </c>
      <c r="D30" s="80">
        <v>0.307884688380218</v>
      </c>
      <c r="E30" s="80">
        <v>0.0307884688380218</v>
      </c>
      <c r="F30" s="81">
        <v>0.0355415364394854</v>
      </c>
      <c r="G30" s="81">
        <v>0</v>
      </c>
    </row>
    <row r="31" spans="1:7">
      <c r="A31" s="78" t="s">
        <v>197</v>
      </c>
      <c r="B31" s="178">
        <v>5.47552115176535</v>
      </c>
      <c r="C31" s="79">
        <f t="shared" si="0"/>
        <v>5.3920289716716</v>
      </c>
      <c r="D31" s="80">
        <v>0.318438243857722</v>
      </c>
      <c r="E31" s="80">
        <v>0.0318438243857722</v>
      </c>
      <c r="F31" s="81">
        <v>0.036524415968026</v>
      </c>
      <c r="G31" s="81">
        <v>0</v>
      </c>
    </row>
    <row r="32" spans="1:7">
      <c r="A32" s="78" t="s">
        <v>198</v>
      </c>
      <c r="B32" s="178">
        <v>5.6026400179549</v>
      </c>
      <c r="C32" s="79">
        <f t="shared" si="0"/>
        <v>5.47552115176535</v>
      </c>
      <c r="D32" s="80">
        <v>0.333902267496812</v>
      </c>
      <c r="E32" s="80">
        <v>0.0333902267496812</v>
      </c>
      <c r="F32" s="81">
        <v>0.0379646199159872</v>
      </c>
      <c r="G32" s="81">
        <v>0</v>
      </c>
    </row>
    <row r="33" spans="1:7">
      <c r="A33" s="78" t="s">
        <v>199</v>
      </c>
      <c r="B33" s="178">
        <v>5.78383528236469</v>
      </c>
      <c r="C33" s="79">
        <f t="shared" si="0"/>
        <v>5.6026400179549</v>
      </c>
      <c r="D33" s="80">
        <v>0.354769693499015</v>
      </c>
      <c r="E33" s="80">
        <v>0.0354769693499015</v>
      </c>
      <c r="F33" s="81">
        <v>0.0399080565023225</v>
      </c>
      <c r="G33" s="81">
        <v>0</v>
      </c>
    </row>
    <row r="34" spans="1:7">
      <c r="A34" s="78" t="s">
        <v>200</v>
      </c>
      <c r="B34" s="178">
        <v>5.90457451315821</v>
      </c>
      <c r="C34" s="79">
        <f t="shared" si="0"/>
        <v>5.78383528236469</v>
      </c>
      <c r="D34" s="80">
        <v>0.36796363502994</v>
      </c>
      <c r="E34" s="80">
        <v>0.036796363502994</v>
      </c>
      <c r="F34" s="81">
        <v>0.0468210514950413</v>
      </c>
      <c r="G34" s="81">
        <v>0</v>
      </c>
    </row>
    <row r="35" spans="1:7">
      <c r="A35" s="78" t="s">
        <v>201</v>
      </c>
      <c r="B35" s="178">
        <v>6.14862078833415</v>
      </c>
      <c r="C35" s="79">
        <f t="shared" si="0"/>
        <v>5.90457451315821</v>
      </c>
      <c r="D35" s="80">
        <v>0.393049930958181</v>
      </c>
      <c r="E35" s="80">
        <v>0.0393049930958181</v>
      </c>
      <c r="F35" s="81">
        <v>0.0608391556878911</v>
      </c>
      <c r="G35" s="81">
        <v>0.00241714025714732</v>
      </c>
    </row>
    <row r="36" spans="1:7">
      <c r="A36" s="78" t="s">
        <v>202</v>
      </c>
      <c r="B36" s="178">
        <v>6.34398831422213</v>
      </c>
      <c r="C36" s="79">
        <f t="shared" si="0"/>
        <v>6.14862078833415</v>
      </c>
      <c r="D36" s="80">
        <v>0.411741379846951</v>
      </c>
      <c r="E36" s="80">
        <v>0.0470448279081705</v>
      </c>
      <c r="F36" s="81">
        <v>0.0712838494277565</v>
      </c>
      <c r="G36" s="81">
        <v>0.00542227219194226</v>
      </c>
    </row>
    <row r="37" spans="1:7">
      <c r="A37" s="78" t="s">
        <v>203</v>
      </c>
      <c r="B37" s="178">
        <v>6.60798664921431</v>
      </c>
      <c r="C37" s="79">
        <f t="shared" si="0"/>
        <v>6.34398831422213</v>
      </c>
      <c r="D37" s="80">
        <v>0.435243136813071</v>
      </c>
      <c r="E37" s="80">
        <v>0.0611458820878424</v>
      </c>
      <c r="F37" s="81">
        <v>0.0844165207000914</v>
      </c>
      <c r="G37" s="81">
        <v>0.00920078507250916</v>
      </c>
    </row>
    <row r="38" spans="1:7">
      <c r="A38" s="78" t="s">
        <v>204</v>
      </c>
      <c r="B38" s="178">
        <v>6.91915614041528</v>
      </c>
      <c r="C38" s="79">
        <f t="shared" si="0"/>
        <v>6.60798664921431</v>
      </c>
      <c r="D38" s="80">
        <v>0.460641480513346</v>
      </c>
      <c r="E38" s="80">
        <v>0.0763848883080073</v>
      </c>
      <c r="F38" s="81">
        <v>0.0986089957205051</v>
      </c>
      <c r="G38" s="81">
        <v>0.0132842231301361</v>
      </c>
    </row>
    <row r="39" spans="1:7">
      <c r="A39" s="78" t="s">
        <v>205</v>
      </c>
      <c r="B39" s="178">
        <v>7.22326447829955</v>
      </c>
      <c r="C39" s="79">
        <f t="shared" si="0"/>
        <v>6.91915614041528</v>
      </c>
      <c r="D39" s="80">
        <v>0.483349138993465</v>
      </c>
      <c r="E39" s="80">
        <v>0.0900094833960792</v>
      </c>
      <c r="F39" s="81">
        <v>0.111297928493223</v>
      </c>
      <c r="G39" s="81">
        <v>0.0169350642216485</v>
      </c>
    </row>
    <row r="40" spans="1:7">
      <c r="A40" s="78" t="s">
        <v>206</v>
      </c>
      <c r="B40" s="178">
        <v>7.89047652554192</v>
      </c>
      <c r="C40" s="79">
        <f t="shared" si="0"/>
        <v>7.22326447829955</v>
      </c>
      <c r="D40" s="80">
        <v>0.527036700519799</v>
      </c>
      <c r="E40" s="80">
        <v>0.116222020311879</v>
      </c>
      <c r="F40" s="81">
        <v>0.135710332427208</v>
      </c>
      <c r="G40" s="81">
        <v>0.0239589652085314</v>
      </c>
    </row>
    <row r="41" spans="1:7">
      <c r="A41" s="78" t="s">
        <v>207</v>
      </c>
      <c r="B41" s="178">
        <v>8.13567384175595</v>
      </c>
      <c r="C41" s="79">
        <f t="shared" si="0"/>
        <v>7.89047652554192</v>
      </c>
      <c r="D41" s="80">
        <v>0.541291122950682</v>
      </c>
      <c r="E41" s="80">
        <v>0.124774673770409</v>
      </c>
      <c r="F41" s="81">
        <v>0.14367563664815</v>
      </c>
      <c r="G41" s="81">
        <v>0.0262507308343005</v>
      </c>
    </row>
    <row r="42" spans="1:7">
      <c r="A42" s="78" t="s">
        <v>208</v>
      </c>
      <c r="B42" s="178">
        <v>8.52137724452302</v>
      </c>
      <c r="C42" s="79">
        <f t="shared" si="0"/>
        <v>8.13567384175595</v>
      </c>
      <c r="D42" s="80">
        <v>0.562053679246509</v>
      </c>
      <c r="E42" s="80">
        <v>0.137232207547905</v>
      </c>
      <c r="F42" s="81">
        <v>0.155277655467403</v>
      </c>
      <c r="G42" s="81">
        <v>0.0295888466402963</v>
      </c>
    </row>
    <row r="43" spans="1:7">
      <c r="A43" s="78" t="s">
        <v>209</v>
      </c>
      <c r="B43" s="178">
        <v>8.77651867676584</v>
      </c>
      <c r="C43" s="79">
        <f t="shared" si="0"/>
        <v>8.52137724452302</v>
      </c>
      <c r="D43" s="80">
        <v>0.574785179701048</v>
      </c>
      <c r="E43" s="80">
        <v>0.144871107820629</v>
      </c>
      <c r="F43" s="81">
        <v>0.16239195804972</v>
      </c>
      <c r="G43" s="81">
        <v>0.0316357633251114</v>
      </c>
    </row>
    <row r="44" spans="1:7">
      <c r="A44" s="78" t="s">
        <v>210</v>
      </c>
      <c r="B44" s="178">
        <v>9.18462274120956</v>
      </c>
      <c r="C44" s="79">
        <f t="shared" si="0"/>
        <v>8.77651867676584</v>
      </c>
      <c r="D44" s="80">
        <v>0.59367892213503</v>
      </c>
      <c r="E44" s="80">
        <v>0.156207353281018</v>
      </c>
      <c r="F44" s="81">
        <v>0.172949692471336</v>
      </c>
      <c r="G44" s="81">
        <v>0.034673419158751</v>
      </c>
    </row>
    <row r="45" spans="1:7">
      <c r="A45" s="78" t="s">
        <v>211</v>
      </c>
      <c r="B45" s="178">
        <v>9.86387868283151</v>
      </c>
      <c r="C45" s="79">
        <f t="shared" si="0"/>
        <v>9.18462274120956</v>
      </c>
      <c r="D45" s="80">
        <v>0.621659396674564</v>
      </c>
      <c r="E45" s="80">
        <v>0.172995638004738</v>
      </c>
      <c r="F45" s="81">
        <v>0.188585050061892</v>
      </c>
      <c r="G45" s="81">
        <v>0.0391720012692041</v>
      </c>
    </row>
    <row r="46" spans="1:7">
      <c r="A46" s="78" t="s">
        <v>212</v>
      </c>
      <c r="B46" s="178">
        <v>10.6831463202895</v>
      </c>
      <c r="C46" s="79">
        <f t="shared" si="0"/>
        <v>9.86387868283151</v>
      </c>
      <c r="D46" s="80">
        <v>0.65067352818114</v>
      </c>
      <c r="E46" s="80">
        <v>0.190404116908684</v>
      </c>
      <c r="F46" s="81">
        <v>0.204798010304714</v>
      </c>
      <c r="G46" s="81">
        <v>0.0630206221960246</v>
      </c>
    </row>
    <row r="47" spans="1:7">
      <c r="A47" s="78" t="s">
        <v>213</v>
      </c>
      <c r="B47" s="178">
        <v>11.1545622065706</v>
      </c>
      <c r="C47" s="79">
        <f t="shared" si="0"/>
        <v>10.6831463202895</v>
      </c>
      <c r="D47" s="80">
        <v>0.665436819224236</v>
      </c>
      <c r="E47" s="80">
        <v>0.199262091534542</v>
      </c>
      <c r="F47" s="81">
        <v>0.213047667913134</v>
      </c>
      <c r="G47" s="81">
        <v>0.0772620983834382</v>
      </c>
    </row>
    <row r="48" spans="1:7">
      <c r="A48" s="78" t="s">
        <v>214</v>
      </c>
      <c r="B48" s="178">
        <v>12.2933778352421</v>
      </c>
      <c r="C48" s="79">
        <f t="shared" si="0"/>
        <v>11.1545622065706</v>
      </c>
      <c r="D48" s="80">
        <v>0.69642958493532</v>
      </c>
      <c r="E48" s="80">
        <v>0.217857750961192</v>
      </c>
      <c r="F48" s="81">
        <v>0.230366279644627</v>
      </c>
      <c r="G48" s="81">
        <v>0.107159411493911</v>
      </c>
    </row>
    <row r="49" spans="1:7">
      <c r="A49" s="78" t="s">
        <v>215</v>
      </c>
      <c r="B49" s="178">
        <v>13.0263601961587</v>
      </c>
      <c r="C49" s="79">
        <f t="shared" si="0"/>
        <v>12.2933778352421</v>
      </c>
      <c r="D49" s="80">
        <v>0.713511237537261</v>
      </c>
      <c r="E49" s="80">
        <v>0.228106742522357</v>
      </c>
      <c r="F49" s="81">
        <v>0.239911426789707</v>
      </c>
      <c r="G49" s="81">
        <v>0.123637305756247</v>
      </c>
    </row>
    <row r="50" spans="1:7">
      <c r="A50" s="78" t="s">
        <v>216</v>
      </c>
      <c r="B50" s="178">
        <v>14.9253998630017</v>
      </c>
      <c r="C50" s="79">
        <f t="shared" si="0"/>
        <v>13.0263601961587</v>
      </c>
      <c r="D50" s="80">
        <v>0.749962758368549</v>
      </c>
      <c r="E50" s="80">
        <v>0.249977655021129</v>
      </c>
      <c r="F50" s="81">
        <v>0.260280365211803</v>
      </c>
      <c r="G50" s="81">
        <v>0.158800431945279</v>
      </c>
    </row>
    <row r="51" spans="1:7">
      <c r="A51" s="78" t="s">
        <v>217</v>
      </c>
      <c r="B51" s="178">
        <v>17.5483246906385</v>
      </c>
      <c r="C51" s="79">
        <f t="shared" si="0"/>
        <v>14.9253998630017</v>
      </c>
      <c r="D51" s="80">
        <v>0.787335493399991</v>
      </c>
      <c r="E51" s="80">
        <v>0.272401296039995</v>
      </c>
      <c r="F51" s="81">
        <v>0.281164073796806</v>
      </c>
      <c r="G51" s="81">
        <v>0.194852211623341</v>
      </c>
    </row>
    <row r="52" spans="1:7">
      <c r="A52" s="78" t="s">
        <v>218</v>
      </c>
      <c r="B52" s="178">
        <v>27.2448513891445</v>
      </c>
      <c r="C52" s="79">
        <f t="shared" si="0"/>
        <v>17.5483246906385</v>
      </c>
      <c r="D52" s="80">
        <v>0.863023447671353</v>
      </c>
      <c r="E52" s="80">
        <v>0.317814068602812</v>
      </c>
      <c r="F52" s="81">
        <v>0.323458146710343</v>
      </c>
      <c r="G52" s="81">
        <v>0.267864942679247</v>
      </c>
    </row>
    <row r="53" spans="1:7">
      <c r="A53" s="78" t="s">
        <v>219</v>
      </c>
      <c r="B53" s="178">
        <v>54.1587376379722</v>
      </c>
      <c r="C53" s="79">
        <f t="shared" si="0"/>
        <v>27.2448513891445</v>
      </c>
      <c r="D53" s="80">
        <v>0.931093190595808</v>
      </c>
      <c r="E53" s="80">
        <v>0.358655914357485</v>
      </c>
      <c r="F53" s="81">
        <v>0.361495198948945</v>
      </c>
      <c r="G53" s="81">
        <v>0.333528731336678</v>
      </c>
    </row>
    <row r="54" spans="1:7">
      <c r="A54" s="78" t="s">
        <v>220</v>
      </c>
      <c r="B54" s="178">
        <v>65.8231656030544</v>
      </c>
      <c r="C54" s="79">
        <f t="shared" si="0"/>
        <v>54.1587376379722</v>
      </c>
      <c r="D54" s="80">
        <v>0.943304066618482</v>
      </c>
      <c r="E54" s="80">
        <v>0.365982439971089</v>
      </c>
      <c r="F54" s="81">
        <v>0.368318579047046</v>
      </c>
      <c r="G54" s="81">
        <v>0.345308008707607</v>
      </c>
    </row>
    <row r="55" spans="1:7">
      <c r="A55" s="78" t="s">
        <v>221</v>
      </c>
      <c r="B55" s="178">
        <v>81.3694269476994</v>
      </c>
      <c r="C55" s="79">
        <f t="shared" si="0"/>
        <v>65.8231656030544</v>
      </c>
      <c r="D55" s="80">
        <v>0.954136265278234</v>
      </c>
      <c r="E55" s="80">
        <v>0.372481759166941</v>
      </c>
      <c r="F55" s="81">
        <v>0.37437156071817</v>
      </c>
      <c r="G55" s="81">
        <v>0.355757338658488</v>
      </c>
    </row>
    <row r="56" spans="1:7">
      <c r="A56" s="78" t="s">
        <v>221</v>
      </c>
      <c r="B56" s="82" t="s">
        <v>357</v>
      </c>
      <c r="C56" s="79">
        <f t="shared" si="0"/>
        <v>81.3694269476994</v>
      </c>
      <c r="D56" s="83">
        <v>49.1</v>
      </c>
      <c r="E56" s="83"/>
      <c r="F56" s="84"/>
      <c r="G56" s="84"/>
    </row>
    <row r="57" spans="1:7">
      <c r="A57" s="78"/>
      <c r="B57" s="82"/>
      <c r="C57" s="82"/>
      <c r="D57" s="83"/>
      <c r="E57" s="85">
        <v>0.0857862288855382</v>
      </c>
      <c r="F57" s="86">
        <v>0.0937707915824917</v>
      </c>
      <c r="G57" s="86">
        <v>0.0451946062817968</v>
      </c>
    </row>
    <row r="58" ht="48" spans="1:7">
      <c r="A58" s="87" t="s">
        <v>233</v>
      </c>
      <c r="B58" s="82">
        <v>10</v>
      </c>
      <c r="C58" s="82"/>
      <c r="D58" s="83"/>
      <c r="E58" s="127">
        <v>6.21984301998563</v>
      </c>
      <c r="F58" s="128">
        <v>5.79269838312888</v>
      </c>
      <c r="G58" s="129">
        <v>10</v>
      </c>
    </row>
    <row r="59" ht="48" spans="1:7">
      <c r="A59" s="87" t="s">
        <v>224</v>
      </c>
      <c r="B59" s="82">
        <v>20.28</v>
      </c>
      <c r="C59" s="82"/>
      <c r="D59" s="83"/>
      <c r="E59" s="83"/>
      <c r="F59" s="84"/>
      <c r="G59" s="84"/>
    </row>
    <row r="60" ht="84" spans="1:7">
      <c r="A60" s="106" t="s">
        <v>225</v>
      </c>
      <c r="B60" s="78">
        <v>6</v>
      </c>
      <c r="C60" s="78"/>
      <c r="D60" s="83"/>
      <c r="E60" s="83">
        <v>3.73190581199138</v>
      </c>
      <c r="F60" s="84">
        <v>3.47561902987733</v>
      </c>
      <c r="G60" s="84">
        <v>6</v>
      </c>
    </row>
    <row r="62" ht="48.75" spans="1:2">
      <c r="A62" s="256" t="s">
        <v>224</v>
      </c>
      <c r="B62">
        <f>B59</f>
        <v>20.28</v>
      </c>
    </row>
    <row r="63" spans="1:3">
      <c r="A63" s="531" t="s">
        <v>226</v>
      </c>
      <c r="B63" s="95">
        <f>AVERAGE(B11:B50)</f>
        <v>6.21984301998563</v>
      </c>
      <c r="C63" s="95"/>
    </row>
    <row r="64" spans="1:3">
      <c r="A64" s="531" t="s">
        <v>227</v>
      </c>
      <c r="B64" s="96">
        <f>AVERAGE(B16:B45)</f>
        <v>5.79269838312888</v>
      </c>
      <c r="C64" s="96"/>
    </row>
    <row r="65" spans="1:3">
      <c r="A65" s="531" t="s">
        <v>228</v>
      </c>
      <c r="B65" s="96">
        <f>AVERAGE(B22:B40)</f>
        <v>5.65669322596994</v>
      </c>
      <c r="C65" s="96"/>
    </row>
    <row r="69" customHeight="1" spans="1:7">
      <c r="A69" s="83" t="s">
        <v>165</v>
      </c>
      <c r="B69" s="83" t="s">
        <v>229</v>
      </c>
      <c r="C69" s="83"/>
      <c r="D69" s="83"/>
      <c r="E69" s="98">
        <f>(1-E124)^(1/3)-1</f>
        <v>0</v>
      </c>
      <c r="F69" s="98">
        <f>(1-F124)^(1/3)-1</f>
        <v>0</v>
      </c>
      <c r="G69" s="98"/>
    </row>
    <row r="70" ht="72" spans="1:7">
      <c r="A70" s="83"/>
      <c r="B70" s="83" t="s">
        <v>167</v>
      </c>
      <c r="C70" s="83"/>
      <c r="D70" s="83" t="s">
        <v>168</v>
      </c>
      <c r="E70" s="83" t="s">
        <v>169</v>
      </c>
      <c r="F70" s="84" t="s">
        <v>169</v>
      </c>
      <c r="G70" s="84"/>
    </row>
    <row r="71" ht="24" spans="1:7">
      <c r="A71" s="83"/>
      <c r="B71" s="83" t="s">
        <v>230</v>
      </c>
      <c r="C71" s="83"/>
      <c r="D71" s="83" t="s">
        <v>171</v>
      </c>
      <c r="E71" s="83" t="s">
        <v>171</v>
      </c>
      <c r="F71" s="84" t="s">
        <v>171</v>
      </c>
      <c r="G71" s="84"/>
    </row>
    <row r="72" spans="1:7">
      <c r="A72" s="75">
        <v>1</v>
      </c>
      <c r="B72" s="76">
        <v>2</v>
      </c>
      <c r="C72" s="76"/>
      <c r="D72" s="76">
        <v>3</v>
      </c>
      <c r="E72" s="76">
        <v>4</v>
      </c>
      <c r="F72" s="77">
        <v>5</v>
      </c>
      <c r="G72" s="77"/>
    </row>
    <row r="73" spans="1:7">
      <c r="A73" s="530" t="s">
        <v>172</v>
      </c>
      <c r="B73" s="101"/>
      <c r="C73" s="102">
        <v>0</v>
      </c>
      <c r="D73" s="80">
        <f>IF(B73=0,0,IF(B73&lt;=E$127,0,B73-E$127)/B73)</f>
        <v>0</v>
      </c>
      <c r="E73" s="80"/>
      <c r="F73" s="81"/>
      <c r="G73" s="81"/>
    </row>
    <row r="74" spans="1:7">
      <c r="A74" s="530" t="s">
        <v>173</v>
      </c>
      <c r="B74" s="101"/>
      <c r="C74" s="79">
        <f>B73</f>
        <v>0</v>
      </c>
      <c r="D74" s="80">
        <f t="shared" ref="D74:D122" si="1">IF(B74=0,0,IF(B74&lt;=E$127,0,B74-E$127)/B74)</f>
        <v>0</v>
      </c>
      <c r="E74" s="80"/>
      <c r="F74" s="81"/>
      <c r="G74" s="81"/>
    </row>
    <row r="75" spans="1:7">
      <c r="A75" s="530" t="s">
        <v>174</v>
      </c>
      <c r="B75" s="101"/>
      <c r="C75" s="79">
        <f t="shared" ref="C75:C123" si="2">B74</f>
        <v>0</v>
      </c>
      <c r="D75" s="80">
        <f t="shared" si="1"/>
        <v>0</v>
      </c>
      <c r="E75" s="80"/>
      <c r="F75" s="81"/>
      <c r="G75" s="81"/>
    </row>
    <row r="76" spans="1:7">
      <c r="A76" s="530" t="s">
        <v>175</v>
      </c>
      <c r="B76" s="101"/>
      <c r="C76" s="79">
        <f t="shared" si="2"/>
        <v>0</v>
      </c>
      <c r="D76" s="80">
        <f t="shared" si="1"/>
        <v>0</v>
      </c>
      <c r="E76" s="80"/>
      <c r="F76" s="81"/>
      <c r="G76" s="81"/>
    </row>
    <row r="77" spans="1:7">
      <c r="A77" s="530" t="s">
        <v>176</v>
      </c>
      <c r="B77" s="101"/>
      <c r="C77" s="79">
        <f t="shared" si="2"/>
        <v>0</v>
      </c>
      <c r="D77" s="80">
        <f t="shared" si="1"/>
        <v>0</v>
      </c>
      <c r="E77" s="80"/>
      <c r="F77" s="81"/>
      <c r="G77" s="81"/>
    </row>
    <row r="78" spans="1:7">
      <c r="A78" s="530" t="s">
        <v>177</v>
      </c>
      <c r="B78" s="101"/>
      <c r="C78" s="79">
        <f t="shared" si="2"/>
        <v>0</v>
      </c>
      <c r="D78" s="80">
        <f t="shared" si="1"/>
        <v>0</v>
      </c>
      <c r="E78" s="80"/>
      <c r="F78" s="81"/>
      <c r="G78" s="81"/>
    </row>
    <row r="79" spans="1:7">
      <c r="A79" s="530" t="s">
        <v>178</v>
      </c>
      <c r="B79" s="101"/>
      <c r="C79" s="79">
        <f t="shared" si="2"/>
        <v>0</v>
      </c>
      <c r="D79" s="80">
        <f t="shared" si="1"/>
        <v>0</v>
      </c>
      <c r="E79" s="80"/>
      <c r="F79" s="81"/>
      <c r="G79" s="81"/>
    </row>
    <row r="80" spans="1:7">
      <c r="A80" s="78" t="s">
        <v>179</v>
      </c>
      <c r="B80" s="101"/>
      <c r="C80" s="79">
        <f t="shared" si="2"/>
        <v>0</v>
      </c>
      <c r="D80" s="80">
        <f t="shared" si="1"/>
        <v>0</v>
      </c>
      <c r="E80" s="80"/>
      <c r="F80" s="81"/>
      <c r="G80" s="81"/>
    </row>
    <row r="81" spans="1:7">
      <c r="A81" s="78" t="s">
        <v>180</v>
      </c>
      <c r="B81" s="101"/>
      <c r="C81" s="79">
        <f t="shared" si="2"/>
        <v>0</v>
      </c>
      <c r="D81" s="80">
        <f t="shared" si="1"/>
        <v>0</v>
      </c>
      <c r="E81" s="80"/>
      <c r="F81" s="81"/>
      <c r="G81" s="81"/>
    </row>
    <row r="82" spans="1:7">
      <c r="A82" s="78" t="s">
        <v>181</v>
      </c>
      <c r="B82" s="101"/>
      <c r="C82" s="79">
        <f t="shared" si="2"/>
        <v>0</v>
      </c>
      <c r="D82" s="80">
        <f t="shared" si="1"/>
        <v>0</v>
      </c>
      <c r="E82" s="80"/>
      <c r="F82" s="81"/>
      <c r="G82" s="81"/>
    </row>
    <row r="83" spans="1:7">
      <c r="A83" s="78" t="s">
        <v>182</v>
      </c>
      <c r="B83" s="101"/>
      <c r="C83" s="79">
        <f t="shared" si="2"/>
        <v>0</v>
      </c>
      <c r="D83" s="80">
        <f t="shared" si="1"/>
        <v>0</v>
      </c>
      <c r="E83" s="80"/>
      <c r="F83" s="81"/>
      <c r="G83" s="81"/>
    </row>
    <row r="84" spans="1:7">
      <c r="A84" s="78" t="s">
        <v>183</v>
      </c>
      <c r="B84" s="101"/>
      <c r="C84" s="79">
        <f t="shared" si="2"/>
        <v>0</v>
      </c>
      <c r="D84" s="80">
        <f t="shared" si="1"/>
        <v>0</v>
      </c>
      <c r="E84" s="80"/>
      <c r="F84" s="81"/>
      <c r="G84" s="81"/>
    </row>
    <row r="85" spans="1:7">
      <c r="A85" s="78" t="s">
        <v>184</v>
      </c>
      <c r="B85" s="101"/>
      <c r="C85" s="79">
        <f t="shared" si="2"/>
        <v>0</v>
      </c>
      <c r="D85" s="80">
        <f t="shared" si="1"/>
        <v>0</v>
      </c>
      <c r="E85" s="80"/>
      <c r="F85" s="81"/>
      <c r="G85" s="81"/>
    </row>
    <row r="86" spans="1:7">
      <c r="A86" s="78" t="s">
        <v>185</v>
      </c>
      <c r="B86" s="101"/>
      <c r="C86" s="79">
        <f t="shared" si="2"/>
        <v>0</v>
      </c>
      <c r="D86" s="80">
        <f t="shared" si="1"/>
        <v>0</v>
      </c>
      <c r="E86" s="80"/>
      <c r="F86" s="81"/>
      <c r="G86" s="81"/>
    </row>
    <row r="87" spans="1:7">
      <c r="A87" s="78" t="s">
        <v>186</v>
      </c>
      <c r="B87" s="101"/>
      <c r="C87" s="79">
        <f t="shared" si="2"/>
        <v>0</v>
      </c>
      <c r="D87" s="80">
        <f t="shared" si="1"/>
        <v>0</v>
      </c>
      <c r="E87" s="80"/>
      <c r="F87" s="81"/>
      <c r="G87" s="81"/>
    </row>
    <row r="88" spans="1:7">
      <c r="A88" s="78" t="s">
        <v>187</v>
      </c>
      <c r="B88" s="101"/>
      <c r="C88" s="79">
        <f t="shared" si="2"/>
        <v>0</v>
      </c>
      <c r="D88" s="80">
        <f t="shared" si="1"/>
        <v>0</v>
      </c>
      <c r="E88" s="80"/>
      <c r="F88" s="81"/>
      <c r="G88" s="81"/>
    </row>
    <row r="89" spans="1:7">
      <c r="A89" s="78" t="s">
        <v>188</v>
      </c>
      <c r="B89" s="101"/>
      <c r="C89" s="79">
        <f t="shared" si="2"/>
        <v>0</v>
      </c>
      <c r="D89" s="80">
        <f t="shared" si="1"/>
        <v>0</v>
      </c>
      <c r="E89" s="80"/>
      <c r="F89" s="81"/>
      <c r="G89" s="81"/>
    </row>
    <row r="90" spans="1:7">
      <c r="A90" s="78" t="s">
        <v>189</v>
      </c>
      <c r="B90" s="101"/>
      <c r="C90" s="79">
        <f t="shared" si="2"/>
        <v>0</v>
      </c>
      <c r="D90" s="80">
        <f t="shared" si="1"/>
        <v>0</v>
      </c>
      <c r="E90" s="80"/>
      <c r="F90" s="81"/>
      <c r="G90" s="81"/>
    </row>
    <row r="91" spans="1:7">
      <c r="A91" s="78" t="s">
        <v>190</v>
      </c>
      <c r="B91" s="101"/>
      <c r="C91" s="79">
        <f t="shared" si="2"/>
        <v>0</v>
      </c>
      <c r="D91" s="80">
        <f t="shared" si="1"/>
        <v>0</v>
      </c>
      <c r="E91" s="80"/>
      <c r="F91" s="81"/>
      <c r="G91" s="81"/>
    </row>
    <row r="92" spans="1:7">
      <c r="A92" s="78" t="s">
        <v>191</v>
      </c>
      <c r="B92" s="101"/>
      <c r="C92" s="79">
        <f t="shared" si="2"/>
        <v>0</v>
      </c>
      <c r="D92" s="80">
        <f t="shared" si="1"/>
        <v>0</v>
      </c>
      <c r="E92" s="80"/>
      <c r="F92" s="81"/>
      <c r="G92" s="81"/>
    </row>
    <row r="93" spans="1:7">
      <c r="A93" s="78" t="s">
        <v>192</v>
      </c>
      <c r="B93" s="101"/>
      <c r="C93" s="79">
        <f t="shared" si="2"/>
        <v>0</v>
      </c>
      <c r="D93" s="80">
        <f t="shared" si="1"/>
        <v>0</v>
      </c>
      <c r="E93" s="80"/>
      <c r="F93" s="81"/>
      <c r="G93" s="81"/>
    </row>
    <row r="94" spans="1:7">
      <c r="A94" s="78" t="s">
        <v>193</v>
      </c>
      <c r="B94" s="101"/>
      <c r="C94" s="79">
        <f t="shared" si="2"/>
        <v>0</v>
      </c>
      <c r="D94" s="80">
        <f t="shared" si="1"/>
        <v>0</v>
      </c>
      <c r="E94" s="80"/>
      <c r="F94" s="81"/>
      <c r="G94" s="81"/>
    </row>
    <row r="95" spans="1:7">
      <c r="A95" s="78" t="s">
        <v>194</v>
      </c>
      <c r="B95" s="101"/>
      <c r="C95" s="79">
        <f t="shared" si="2"/>
        <v>0</v>
      </c>
      <c r="D95" s="80">
        <f t="shared" si="1"/>
        <v>0</v>
      </c>
      <c r="E95" s="80"/>
      <c r="F95" s="81"/>
      <c r="G95" s="81"/>
    </row>
    <row r="96" spans="1:7">
      <c r="A96" s="78" t="s">
        <v>195</v>
      </c>
      <c r="B96" s="101"/>
      <c r="C96" s="79">
        <f t="shared" si="2"/>
        <v>0</v>
      </c>
      <c r="D96" s="80">
        <f t="shared" si="1"/>
        <v>0</v>
      </c>
      <c r="E96" s="80"/>
      <c r="F96" s="81"/>
      <c r="G96" s="81"/>
    </row>
    <row r="97" spans="1:7">
      <c r="A97" s="78" t="s">
        <v>196</v>
      </c>
      <c r="B97" s="101"/>
      <c r="C97" s="79">
        <f t="shared" si="2"/>
        <v>0</v>
      </c>
      <c r="D97" s="80">
        <f t="shared" si="1"/>
        <v>0</v>
      </c>
      <c r="E97" s="80"/>
      <c r="F97" s="81"/>
      <c r="G97" s="81"/>
    </row>
    <row r="98" spans="1:7">
      <c r="A98" s="78" t="s">
        <v>197</v>
      </c>
      <c r="B98" s="101"/>
      <c r="C98" s="79">
        <f t="shared" si="2"/>
        <v>0</v>
      </c>
      <c r="D98" s="80">
        <f t="shared" si="1"/>
        <v>0</v>
      </c>
      <c r="E98" s="80"/>
      <c r="F98" s="81"/>
      <c r="G98" s="81"/>
    </row>
    <row r="99" spans="1:7">
      <c r="A99" s="78" t="s">
        <v>198</v>
      </c>
      <c r="B99" s="101"/>
      <c r="C99" s="79">
        <f t="shared" si="2"/>
        <v>0</v>
      </c>
      <c r="D99" s="80">
        <f t="shared" si="1"/>
        <v>0</v>
      </c>
      <c r="E99" s="80"/>
      <c r="F99" s="81"/>
      <c r="G99" s="81"/>
    </row>
    <row r="100" spans="1:7">
      <c r="A100" s="78" t="s">
        <v>199</v>
      </c>
      <c r="B100" s="101"/>
      <c r="C100" s="79">
        <f t="shared" si="2"/>
        <v>0</v>
      </c>
      <c r="D100" s="80">
        <f t="shared" si="1"/>
        <v>0</v>
      </c>
      <c r="E100" s="80"/>
      <c r="F100" s="81"/>
      <c r="G100" s="81"/>
    </row>
    <row r="101" spans="1:7">
      <c r="A101" s="78" t="s">
        <v>200</v>
      </c>
      <c r="B101" s="101"/>
      <c r="C101" s="79">
        <f t="shared" si="2"/>
        <v>0</v>
      </c>
      <c r="D101" s="80">
        <f t="shared" si="1"/>
        <v>0</v>
      </c>
      <c r="E101" s="80"/>
      <c r="F101" s="81"/>
      <c r="G101" s="81"/>
    </row>
    <row r="102" spans="1:7">
      <c r="A102" s="78" t="s">
        <v>201</v>
      </c>
      <c r="B102" s="101"/>
      <c r="C102" s="79">
        <f t="shared" si="2"/>
        <v>0</v>
      </c>
      <c r="D102" s="80">
        <f t="shared" si="1"/>
        <v>0</v>
      </c>
      <c r="E102" s="80"/>
      <c r="F102" s="81"/>
      <c r="G102" s="81"/>
    </row>
    <row r="103" spans="1:7">
      <c r="A103" s="78" t="s">
        <v>202</v>
      </c>
      <c r="B103" s="101"/>
      <c r="C103" s="79">
        <f t="shared" si="2"/>
        <v>0</v>
      </c>
      <c r="D103" s="80">
        <f t="shared" si="1"/>
        <v>0</v>
      </c>
      <c r="E103" s="80"/>
      <c r="F103" s="81"/>
      <c r="G103" s="81"/>
    </row>
    <row r="104" spans="1:7">
      <c r="A104" s="78" t="s">
        <v>203</v>
      </c>
      <c r="B104" s="101"/>
      <c r="C104" s="79">
        <f t="shared" si="2"/>
        <v>0</v>
      </c>
      <c r="D104" s="80">
        <f t="shared" si="1"/>
        <v>0</v>
      </c>
      <c r="E104" s="80"/>
      <c r="F104" s="81"/>
      <c r="G104" s="81"/>
    </row>
    <row r="105" spans="1:7">
      <c r="A105" s="78" t="s">
        <v>204</v>
      </c>
      <c r="B105" s="101"/>
      <c r="C105" s="79">
        <f t="shared" si="2"/>
        <v>0</v>
      </c>
      <c r="D105" s="80">
        <f t="shared" si="1"/>
        <v>0</v>
      </c>
      <c r="E105" s="80"/>
      <c r="F105" s="81"/>
      <c r="G105" s="81"/>
    </row>
    <row r="106" spans="1:7">
      <c r="A106" s="78" t="s">
        <v>205</v>
      </c>
      <c r="B106" s="101"/>
      <c r="C106" s="79">
        <f t="shared" si="2"/>
        <v>0</v>
      </c>
      <c r="D106" s="80">
        <f t="shared" si="1"/>
        <v>0</v>
      </c>
      <c r="E106" s="80"/>
      <c r="F106" s="81"/>
      <c r="G106" s="81"/>
    </row>
    <row r="107" spans="1:7">
      <c r="A107" s="78" t="s">
        <v>206</v>
      </c>
      <c r="B107" s="101"/>
      <c r="C107" s="79">
        <f t="shared" si="2"/>
        <v>0</v>
      </c>
      <c r="D107" s="80">
        <f t="shared" si="1"/>
        <v>0</v>
      </c>
      <c r="E107" s="80"/>
      <c r="F107" s="81"/>
      <c r="G107" s="81"/>
    </row>
    <row r="108" spans="1:7">
      <c r="A108" s="78" t="s">
        <v>207</v>
      </c>
      <c r="B108" s="101"/>
      <c r="C108" s="79">
        <f t="shared" si="2"/>
        <v>0</v>
      </c>
      <c r="D108" s="80">
        <f t="shared" si="1"/>
        <v>0</v>
      </c>
      <c r="E108" s="80"/>
      <c r="F108" s="81"/>
      <c r="G108" s="81"/>
    </row>
    <row r="109" spans="1:7">
      <c r="A109" s="78" t="s">
        <v>208</v>
      </c>
      <c r="B109" s="101"/>
      <c r="C109" s="79">
        <f t="shared" si="2"/>
        <v>0</v>
      </c>
      <c r="D109" s="80">
        <f t="shared" si="1"/>
        <v>0</v>
      </c>
      <c r="E109" s="80"/>
      <c r="F109" s="81"/>
      <c r="G109" s="81"/>
    </row>
    <row r="110" spans="1:7">
      <c r="A110" s="78" t="s">
        <v>209</v>
      </c>
      <c r="B110" s="101"/>
      <c r="C110" s="79">
        <f t="shared" si="2"/>
        <v>0</v>
      </c>
      <c r="D110" s="80">
        <f t="shared" si="1"/>
        <v>0</v>
      </c>
      <c r="E110" s="80"/>
      <c r="F110" s="81"/>
      <c r="G110" s="81"/>
    </row>
    <row r="111" spans="1:7">
      <c r="A111" s="78" t="s">
        <v>210</v>
      </c>
      <c r="B111" s="101"/>
      <c r="C111" s="79">
        <f t="shared" si="2"/>
        <v>0</v>
      </c>
      <c r="D111" s="80">
        <f t="shared" si="1"/>
        <v>0</v>
      </c>
      <c r="E111" s="80"/>
      <c r="F111" s="81"/>
      <c r="G111" s="81"/>
    </row>
    <row r="112" spans="1:7">
      <c r="A112" s="78" t="s">
        <v>211</v>
      </c>
      <c r="B112" s="101"/>
      <c r="C112" s="79">
        <f t="shared" si="2"/>
        <v>0</v>
      </c>
      <c r="D112" s="80">
        <f t="shared" si="1"/>
        <v>0</v>
      </c>
      <c r="E112" s="80"/>
      <c r="F112" s="81"/>
      <c r="G112" s="81"/>
    </row>
    <row r="113" spans="1:7">
      <c r="A113" s="78" t="s">
        <v>212</v>
      </c>
      <c r="B113" s="101"/>
      <c r="C113" s="79">
        <f t="shared" si="2"/>
        <v>0</v>
      </c>
      <c r="D113" s="80">
        <f t="shared" si="1"/>
        <v>0</v>
      </c>
      <c r="E113" s="80"/>
      <c r="F113" s="81"/>
      <c r="G113" s="81"/>
    </row>
    <row r="114" spans="1:7">
      <c r="A114" s="78" t="s">
        <v>213</v>
      </c>
      <c r="B114" s="101"/>
      <c r="C114" s="79">
        <f t="shared" si="2"/>
        <v>0</v>
      </c>
      <c r="D114" s="80">
        <f t="shared" si="1"/>
        <v>0</v>
      </c>
      <c r="E114" s="80"/>
      <c r="F114" s="81"/>
      <c r="G114" s="81"/>
    </row>
    <row r="115" spans="1:7">
      <c r="A115" s="78" t="s">
        <v>214</v>
      </c>
      <c r="B115" s="101"/>
      <c r="C115" s="79">
        <f t="shared" si="2"/>
        <v>0</v>
      </c>
      <c r="D115" s="80">
        <f t="shared" si="1"/>
        <v>0</v>
      </c>
      <c r="E115" s="80"/>
      <c r="F115" s="81"/>
      <c r="G115" s="81"/>
    </row>
    <row r="116" spans="1:7">
      <c r="A116" s="78" t="s">
        <v>215</v>
      </c>
      <c r="B116" s="101"/>
      <c r="C116" s="79">
        <f t="shared" si="2"/>
        <v>0</v>
      </c>
      <c r="D116" s="80">
        <f t="shared" si="1"/>
        <v>0</v>
      </c>
      <c r="E116" s="80"/>
      <c r="F116" s="81"/>
      <c r="G116" s="81"/>
    </row>
    <row r="117" spans="1:7">
      <c r="A117" s="78" t="s">
        <v>216</v>
      </c>
      <c r="B117" s="101"/>
      <c r="C117" s="79">
        <f t="shared" si="2"/>
        <v>0</v>
      </c>
      <c r="D117" s="80">
        <f t="shared" si="1"/>
        <v>0</v>
      </c>
      <c r="E117" s="80"/>
      <c r="F117" s="81"/>
      <c r="G117" s="81"/>
    </row>
    <row r="118" spans="1:7">
      <c r="A118" s="78" t="s">
        <v>217</v>
      </c>
      <c r="B118" s="101"/>
      <c r="C118" s="79">
        <f t="shared" si="2"/>
        <v>0</v>
      </c>
      <c r="D118" s="80">
        <f t="shared" si="1"/>
        <v>0</v>
      </c>
      <c r="E118" s="80"/>
      <c r="F118" s="81"/>
      <c r="G118" s="81"/>
    </row>
    <row r="119" spans="1:7">
      <c r="A119" s="78" t="s">
        <v>218</v>
      </c>
      <c r="B119" s="101"/>
      <c r="C119" s="79">
        <f t="shared" si="2"/>
        <v>0</v>
      </c>
      <c r="D119" s="80">
        <f t="shared" si="1"/>
        <v>0</v>
      </c>
      <c r="E119" s="80"/>
      <c r="F119" s="81"/>
      <c r="G119" s="81"/>
    </row>
    <row r="120" spans="1:7">
      <c r="A120" s="78" t="s">
        <v>219</v>
      </c>
      <c r="B120" s="101"/>
      <c r="C120" s="79">
        <f t="shared" si="2"/>
        <v>0</v>
      </c>
      <c r="D120" s="80">
        <f t="shared" si="1"/>
        <v>0</v>
      </c>
      <c r="E120" s="80"/>
      <c r="F120" s="81"/>
      <c r="G120" s="81"/>
    </row>
    <row r="121" spans="1:7">
      <c r="A121" s="78" t="s">
        <v>220</v>
      </c>
      <c r="B121" s="101"/>
      <c r="C121" s="79">
        <f t="shared" si="2"/>
        <v>0</v>
      </c>
      <c r="D121" s="80">
        <f t="shared" si="1"/>
        <v>0</v>
      </c>
      <c r="E121" s="80"/>
      <c r="F121" s="81"/>
      <c r="G121" s="81"/>
    </row>
    <row r="122" spans="1:7">
      <c r="A122" s="78" t="s">
        <v>221</v>
      </c>
      <c r="B122" s="101"/>
      <c r="C122" s="79">
        <f t="shared" si="2"/>
        <v>0</v>
      </c>
      <c r="D122" s="80">
        <f t="shared" si="1"/>
        <v>0</v>
      </c>
      <c r="E122" s="80"/>
      <c r="F122" s="81"/>
      <c r="G122" s="81"/>
    </row>
    <row r="123" spans="1:7">
      <c r="A123" s="78" t="s">
        <v>221</v>
      </c>
      <c r="B123" s="78" t="s">
        <v>355</v>
      </c>
      <c r="C123" s="79">
        <f t="shared" si="2"/>
        <v>0</v>
      </c>
      <c r="D123" s="83" t="s">
        <v>232</v>
      </c>
      <c r="E123" s="83"/>
      <c r="F123" s="84"/>
      <c r="G123" s="84"/>
    </row>
    <row r="124" spans="1:7">
      <c r="A124" s="78"/>
      <c r="B124" s="78"/>
      <c r="C124" s="78"/>
      <c r="D124" s="83"/>
      <c r="E124" s="85"/>
      <c r="F124" s="86"/>
      <c r="G124" s="86"/>
    </row>
    <row r="125" ht="48" spans="1:7">
      <c r="A125" s="87" t="s">
        <v>233</v>
      </c>
      <c r="B125" s="78">
        <v>27.5</v>
      </c>
      <c r="C125" s="78"/>
      <c r="D125" s="83"/>
      <c r="E125" s="127" t="e">
        <f>B130</f>
        <v>#DIV/0!</v>
      </c>
      <c r="F125" s="128" t="e">
        <f>B131</f>
        <v>#DIV/0!</v>
      </c>
      <c r="G125" s="129"/>
    </row>
    <row r="126" ht="48" spans="1:7">
      <c r="A126" s="87" t="s">
        <v>224</v>
      </c>
      <c r="B126" s="78">
        <v>59.3712179963015</v>
      </c>
      <c r="C126" s="78"/>
      <c r="D126" s="83"/>
      <c r="E126" s="83"/>
      <c r="F126" s="84"/>
      <c r="G126" s="84"/>
    </row>
    <row r="127" ht="84" spans="1:7">
      <c r="A127" s="106" t="s">
        <v>225</v>
      </c>
      <c r="B127" s="78">
        <f>0.6*B125</f>
        <v>16.5</v>
      </c>
      <c r="C127" s="78"/>
      <c r="D127" s="83"/>
      <c r="E127" s="83" t="e">
        <f>0.6*E125</f>
        <v>#DIV/0!</v>
      </c>
      <c r="F127" s="84" t="e">
        <f>0.6*F125</f>
        <v>#DIV/0!</v>
      </c>
      <c r="G127" s="84"/>
    </row>
    <row r="129" ht="48.75" spans="1:2">
      <c r="A129" s="256" t="s">
        <v>224</v>
      </c>
      <c r="B129">
        <f>B126</f>
        <v>59.3712179963015</v>
      </c>
    </row>
    <row r="130" spans="1:3">
      <c r="A130" s="531" t="s">
        <v>226</v>
      </c>
      <c r="B130" s="95" t="e">
        <f>AVERAGE(B78:B117)</f>
        <v>#DIV/0!</v>
      </c>
      <c r="C130" s="95"/>
    </row>
    <row r="131" spans="1:3">
      <c r="A131" s="531" t="s">
        <v>227</v>
      </c>
      <c r="B131" s="96" t="e">
        <f>AVERAGE(B83:B112)</f>
        <v>#DIV/0!</v>
      </c>
      <c r="C131" s="96"/>
    </row>
    <row r="132" spans="1:3">
      <c r="A132" s="531" t="s">
        <v>228</v>
      </c>
      <c r="B132" s="96" t="e">
        <f>AVERAGE(B89:B107)</f>
        <v>#DIV/0!</v>
      </c>
      <c r="C132" s="96"/>
    </row>
    <row r="133" ht="15.75"/>
    <row r="134" ht="15.75" spans="1:7">
      <c r="A134" s="252" t="s">
        <v>165</v>
      </c>
      <c r="B134" s="67" t="s">
        <v>347</v>
      </c>
      <c r="C134" s="68"/>
      <c r="D134" s="69"/>
      <c r="E134" s="70" t="e">
        <f>(1-E189)^(1/3)-1</f>
        <v>#DIV/0!</v>
      </c>
      <c r="F134" s="70" t="e">
        <f>(1-F189)^(1/3)-1</f>
        <v>#DIV/0!</v>
      </c>
      <c r="G134" s="70"/>
    </row>
    <row r="135" ht="72.75" spans="1:7">
      <c r="A135" s="253"/>
      <c r="B135" s="72" t="s">
        <v>167</v>
      </c>
      <c r="C135" s="107"/>
      <c r="D135" s="83" t="s">
        <v>168</v>
      </c>
      <c r="E135" s="83" t="s">
        <v>169</v>
      </c>
      <c r="F135" s="84" t="s">
        <v>169</v>
      </c>
      <c r="G135" s="84"/>
    </row>
    <row r="136" ht="24.75" spans="1:7">
      <c r="A136" s="254"/>
      <c r="B136" s="72" t="s">
        <v>235</v>
      </c>
      <c r="C136" s="107"/>
      <c r="D136" s="83" t="s">
        <v>171</v>
      </c>
      <c r="E136" s="83" t="s">
        <v>171</v>
      </c>
      <c r="F136" s="84" t="s">
        <v>171</v>
      </c>
      <c r="G136" s="84"/>
    </row>
    <row r="137" spans="1:7">
      <c r="A137" s="75">
        <v>1</v>
      </c>
      <c r="B137" s="76">
        <v>2</v>
      </c>
      <c r="C137" s="76"/>
      <c r="D137" s="76">
        <v>3</v>
      </c>
      <c r="E137" s="76">
        <v>4</v>
      </c>
      <c r="F137" s="77">
        <v>5</v>
      </c>
      <c r="G137" s="77"/>
    </row>
    <row r="138" ht="15.75" spans="1:7">
      <c r="A138" s="533" t="s">
        <v>172</v>
      </c>
      <c r="B138" s="317"/>
      <c r="C138" s="112">
        <v>0</v>
      </c>
      <c r="D138" s="80">
        <f t="shared" ref="D138:D187" si="3">IF(B138=0,0,IF(B138&lt;=E$192,0,B138-E$192)/B138)</f>
        <v>0</v>
      </c>
      <c r="E138" s="80"/>
      <c r="F138" s="81"/>
      <c r="G138" s="81"/>
    </row>
    <row r="139" ht="15.75" spans="1:7">
      <c r="A139" s="533" t="s">
        <v>173</v>
      </c>
      <c r="B139" s="317"/>
      <c r="C139" s="79">
        <f>B138</f>
        <v>0</v>
      </c>
      <c r="D139" s="80">
        <f t="shared" si="3"/>
        <v>0</v>
      </c>
      <c r="E139" s="80"/>
      <c r="F139" s="81"/>
      <c r="G139" s="81"/>
    </row>
    <row r="140" ht="15.75" spans="1:7">
      <c r="A140" s="533" t="s">
        <v>174</v>
      </c>
      <c r="B140" s="317"/>
      <c r="C140" s="79">
        <f t="shared" ref="C140:C188" si="4">B139</f>
        <v>0</v>
      </c>
      <c r="D140" s="80">
        <f t="shared" si="3"/>
        <v>0</v>
      </c>
      <c r="E140" s="80"/>
      <c r="F140" s="81"/>
      <c r="G140" s="81"/>
    </row>
    <row r="141" ht="15.75" spans="1:7">
      <c r="A141" s="533" t="s">
        <v>175</v>
      </c>
      <c r="B141" s="317"/>
      <c r="C141" s="79">
        <f t="shared" si="4"/>
        <v>0</v>
      </c>
      <c r="D141" s="80">
        <f t="shared" si="3"/>
        <v>0</v>
      </c>
      <c r="E141" s="80"/>
      <c r="F141" s="81"/>
      <c r="G141" s="81"/>
    </row>
    <row r="142" ht="15.75" spans="1:7">
      <c r="A142" s="533" t="s">
        <v>176</v>
      </c>
      <c r="B142" s="317"/>
      <c r="C142" s="79">
        <f t="shared" si="4"/>
        <v>0</v>
      </c>
      <c r="D142" s="80">
        <f t="shared" si="3"/>
        <v>0</v>
      </c>
      <c r="E142" s="80"/>
      <c r="F142" s="81"/>
      <c r="G142" s="81"/>
    </row>
    <row r="143" ht="15.75" spans="1:7">
      <c r="A143" s="533" t="s">
        <v>177</v>
      </c>
      <c r="B143" s="317"/>
      <c r="C143" s="79">
        <f t="shared" si="4"/>
        <v>0</v>
      </c>
      <c r="D143" s="80">
        <f t="shared" si="3"/>
        <v>0</v>
      </c>
      <c r="E143" s="80"/>
      <c r="F143" s="81"/>
      <c r="G143" s="81"/>
    </row>
    <row r="144" ht="15.75" spans="1:7">
      <c r="A144" s="533" t="s">
        <v>178</v>
      </c>
      <c r="B144" s="317"/>
      <c r="C144" s="79">
        <f t="shared" si="4"/>
        <v>0</v>
      </c>
      <c r="D144" s="80">
        <f t="shared" si="3"/>
        <v>0</v>
      </c>
      <c r="E144" s="80"/>
      <c r="F144" s="81"/>
      <c r="G144" s="81"/>
    </row>
    <row r="145" ht="15.75" spans="1:7">
      <c r="A145" s="257" t="s">
        <v>179</v>
      </c>
      <c r="B145" s="317"/>
      <c r="C145" s="79">
        <f t="shared" si="4"/>
        <v>0</v>
      </c>
      <c r="D145" s="80">
        <f t="shared" si="3"/>
        <v>0</v>
      </c>
      <c r="E145" s="80"/>
      <c r="F145" s="81"/>
      <c r="G145" s="81"/>
    </row>
    <row r="146" ht="15.75" spans="1:7">
      <c r="A146" s="257" t="s">
        <v>180</v>
      </c>
      <c r="B146" s="317"/>
      <c r="C146" s="79">
        <f t="shared" si="4"/>
        <v>0</v>
      </c>
      <c r="D146" s="80">
        <f t="shared" si="3"/>
        <v>0</v>
      </c>
      <c r="E146" s="80"/>
      <c r="F146" s="81"/>
      <c r="G146" s="81"/>
    </row>
    <row r="147" ht="15.75" spans="1:7">
      <c r="A147" s="257" t="s">
        <v>181</v>
      </c>
      <c r="B147" s="317"/>
      <c r="C147" s="79">
        <f t="shared" si="4"/>
        <v>0</v>
      </c>
      <c r="D147" s="80">
        <f t="shared" si="3"/>
        <v>0</v>
      </c>
      <c r="E147" s="80"/>
      <c r="F147" s="81"/>
      <c r="G147" s="81"/>
    </row>
    <row r="148" ht="15.75" spans="1:7">
      <c r="A148" s="257" t="s">
        <v>182</v>
      </c>
      <c r="B148" s="317"/>
      <c r="C148" s="79">
        <f t="shared" si="4"/>
        <v>0</v>
      </c>
      <c r="D148" s="80">
        <f t="shared" si="3"/>
        <v>0</v>
      </c>
      <c r="E148" s="80"/>
      <c r="F148" s="81"/>
      <c r="G148" s="81"/>
    </row>
    <row r="149" ht="15.75" spans="1:7">
      <c r="A149" s="257" t="s">
        <v>183</v>
      </c>
      <c r="B149" s="317"/>
      <c r="C149" s="79">
        <f t="shared" si="4"/>
        <v>0</v>
      </c>
      <c r="D149" s="80">
        <f t="shared" si="3"/>
        <v>0</v>
      </c>
      <c r="E149" s="80"/>
      <c r="F149" s="81"/>
      <c r="G149" s="81"/>
    </row>
    <row r="150" ht="15.75" spans="1:7">
      <c r="A150" s="257" t="s">
        <v>184</v>
      </c>
      <c r="B150" s="317"/>
      <c r="C150" s="79">
        <f t="shared" si="4"/>
        <v>0</v>
      </c>
      <c r="D150" s="80">
        <f t="shared" si="3"/>
        <v>0</v>
      </c>
      <c r="E150" s="80"/>
      <c r="F150" s="81"/>
      <c r="G150" s="81"/>
    </row>
    <row r="151" ht="15.75" spans="1:7">
      <c r="A151" s="257" t="s">
        <v>185</v>
      </c>
      <c r="B151" s="317"/>
      <c r="C151" s="79">
        <f t="shared" si="4"/>
        <v>0</v>
      </c>
      <c r="D151" s="80">
        <f t="shared" si="3"/>
        <v>0</v>
      </c>
      <c r="E151" s="80"/>
      <c r="F151" s="81"/>
      <c r="G151" s="81"/>
    </row>
    <row r="152" ht="15.75" spans="1:7">
      <c r="A152" s="257" t="s">
        <v>186</v>
      </c>
      <c r="B152" s="317"/>
      <c r="C152" s="79">
        <f t="shared" si="4"/>
        <v>0</v>
      </c>
      <c r="D152" s="80">
        <f t="shared" si="3"/>
        <v>0</v>
      </c>
      <c r="E152" s="80"/>
      <c r="F152" s="81"/>
      <c r="G152" s="81"/>
    </row>
    <row r="153" ht="15.75" spans="1:7">
      <c r="A153" s="257" t="s">
        <v>187</v>
      </c>
      <c r="B153" s="317"/>
      <c r="C153" s="79">
        <f t="shared" si="4"/>
        <v>0</v>
      </c>
      <c r="D153" s="80">
        <f t="shared" si="3"/>
        <v>0</v>
      </c>
      <c r="E153" s="80"/>
      <c r="F153" s="81"/>
      <c r="G153" s="81"/>
    </row>
    <row r="154" ht="15.75" spans="1:7">
      <c r="A154" s="257" t="s">
        <v>188</v>
      </c>
      <c r="B154" s="317"/>
      <c r="C154" s="79">
        <f t="shared" si="4"/>
        <v>0</v>
      </c>
      <c r="D154" s="80">
        <f t="shared" si="3"/>
        <v>0</v>
      </c>
      <c r="E154" s="80"/>
      <c r="F154" s="81"/>
      <c r="G154" s="81"/>
    </row>
    <row r="155" ht="15.75" spans="1:7">
      <c r="A155" s="257" t="s">
        <v>189</v>
      </c>
      <c r="B155" s="317"/>
      <c r="C155" s="79">
        <f t="shared" si="4"/>
        <v>0</v>
      </c>
      <c r="D155" s="80">
        <f t="shared" si="3"/>
        <v>0</v>
      </c>
      <c r="E155" s="80"/>
      <c r="F155" s="81"/>
      <c r="G155" s="81"/>
    </row>
    <row r="156" ht="15.75" spans="1:7">
      <c r="A156" s="257" t="s">
        <v>190</v>
      </c>
      <c r="B156" s="317"/>
      <c r="C156" s="79">
        <f t="shared" si="4"/>
        <v>0</v>
      </c>
      <c r="D156" s="80">
        <f t="shared" si="3"/>
        <v>0</v>
      </c>
      <c r="E156" s="80"/>
      <c r="F156" s="81"/>
      <c r="G156" s="81"/>
    </row>
    <row r="157" ht="15.75" spans="1:7">
      <c r="A157" s="257" t="s">
        <v>191</v>
      </c>
      <c r="B157" s="317"/>
      <c r="C157" s="79">
        <f t="shared" si="4"/>
        <v>0</v>
      </c>
      <c r="D157" s="80">
        <f t="shared" si="3"/>
        <v>0</v>
      </c>
      <c r="E157" s="80"/>
      <c r="F157" s="81"/>
      <c r="G157" s="81"/>
    </row>
    <row r="158" ht="15.75" spans="1:7">
      <c r="A158" s="257" t="s">
        <v>192</v>
      </c>
      <c r="B158" s="317"/>
      <c r="C158" s="79">
        <f t="shared" si="4"/>
        <v>0</v>
      </c>
      <c r="D158" s="80">
        <f t="shared" si="3"/>
        <v>0</v>
      </c>
      <c r="E158" s="80"/>
      <c r="F158" s="81"/>
      <c r="G158" s="81"/>
    </row>
    <row r="159" ht="15.75" spans="1:7">
      <c r="A159" s="257" t="s">
        <v>193</v>
      </c>
      <c r="B159" s="317"/>
      <c r="C159" s="79">
        <f t="shared" si="4"/>
        <v>0</v>
      </c>
      <c r="D159" s="80">
        <f t="shared" si="3"/>
        <v>0</v>
      </c>
      <c r="E159" s="80"/>
      <c r="F159" s="81"/>
      <c r="G159" s="81"/>
    </row>
    <row r="160" ht="15.75" spans="1:7">
      <c r="A160" s="257" t="s">
        <v>194</v>
      </c>
      <c r="B160" s="317"/>
      <c r="C160" s="79">
        <f t="shared" si="4"/>
        <v>0</v>
      </c>
      <c r="D160" s="80">
        <f t="shared" si="3"/>
        <v>0</v>
      </c>
      <c r="E160" s="80"/>
      <c r="F160" s="81"/>
      <c r="G160" s="81"/>
    </row>
    <row r="161" ht="15.75" spans="1:7">
      <c r="A161" s="257" t="s">
        <v>195</v>
      </c>
      <c r="B161" s="317"/>
      <c r="C161" s="79">
        <f t="shared" si="4"/>
        <v>0</v>
      </c>
      <c r="D161" s="80">
        <f t="shared" si="3"/>
        <v>0</v>
      </c>
      <c r="E161" s="80"/>
      <c r="F161" s="81"/>
      <c r="G161" s="81"/>
    </row>
    <row r="162" ht="15.75" spans="1:7">
      <c r="A162" s="257" t="s">
        <v>196</v>
      </c>
      <c r="B162" s="317"/>
      <c r="C162" s="79">
        <f t="shared" si="4"/>
        <v>0</v>
      </c>
      <c r="D162" s="80">
        <f t="shared" si="3"/>
        <v>0</v>
      </c>
      <c r="E162" s="80"/>
      <c r="F162" s="81"/>
      <c r="G162" s="81"/>
    </row>
    <row r="163" ht="15.75" spans="1:7">
      <c r="A163" s="257" t="s">
        <v>197</v>
      </c>
      <c r="B163" s="317"/>
      <c r="C163" s="79">
        <f t="shared" si="4"/>
        <v>0</v>
      </c>
      <c r="D163" s="80">
        <f t="shared" si="3"/>
        <v>0</v>
      </c>
      <c r="E163" s="80"/>
      <c r="F163" s="81"/>
      <c r="G163" s="81"/>
    </row>
    <row r="164" ht="15.75" spans="1:7">
      <c r="A164" s="257" t="s">
        <v>198</v>
      </c>
      <c r="B164" s="317"/>
      <c r="C164" s="79">
        <f t="shared" si="4"/>
        <v>0</v>
      </c>
      <c r="D164" s="80">
        <f t="shared" si="3"/>
        <v>0</v>
      </c>
      <c r="E164" s="80"/>
      <c r="F164" s="81"/>
      <c r="G164" s="81"/>
    </row>
    <row r="165" ht="15.75" spans="1:7">
      <c r="A165" s="257" t="s">
        <v>199</v>
      </c>
      <c r="B165" s="317"/>
      <c r="C165" s="79">
        <f t="shared" si="4"/>
        <v>0</v>
      </c>
      <c r="D165" s="80">
        <f t="shared" si="3"/>
        <v>0</v>
      </c>
      <c r="E165" s="80"/>
      <c r="F165" s="81"/>
      <c r="G165" s="81"/>
    </row>
    <row r="166" ht="15.75" spans="1:7">
      <c r="A166" s="257" t="s">
        <v>200</v>
      </c>
      <c r="B166" s="317"/>
      <c r="C166" s="79">
        <f t="shared" si="4"/>
        <v>0</v>
      </c>
      <c r="D166" s="80">
        <f t="shared" si="3"/>
        <v>0</v>
      </c>
      <c r="E166" s="80"/>
      <c r="F166" s="81"/>
      <c r="G166" s="81"/>
    </row>
    <row r="167" ht="15.75" spans="1:7">
      <c r="A167" s="257" t="s">
        <v>201</v>
      </c>
      <c r="B167" s="317"/>
      <c r="C167" s="79">
        <f t="shared" si="4"/>
        <v>0</v>
      </c>
      <c r="D167" s="80">
        <f t="shared" si="3"/>
        <v>0</v>
      </c>
      <c r="E167" s="80"/>
      <c r="F167" s="81"/>
      <c r="G167" s="81"/>
    </row>
    <row r="168" ht="15.75" spans="1:7">
      <c r="A168" s="257" t="s">
        <v>202</v>
      </c>
      <c r="B168" s="317"/>
      <c r="C168" s="79">
        <f t="shared" si="4"/>
        <v>0</v>
      </c>
      <c r="D168" s="80">
        <f t="shared" si="3"/>
        <v>0</v>
      </c>
      <c r="E168" s="80"/>
      <c r="F168" s="81"/>
      <c r="G168" s="81"/>
    </row>
    <row r="169" ht="15.75" spans="1:7">
      <c r="A169" s="257" t="s">
        <v>203</v>
      </c>
      <c r="B169" s="317"/>
      <c r="C169" s="79">
        <f t="shared" si="4"/>
        <v>0</v>
      </c>
      <c r="D169" s="80">
        <f t="shared" si="3"/>
        <v>0</v>
      </c>
      <c r="E169" s="80"/>
      <c r="F169" s="81"/>
      <c r="G169" s="81"/>
    </row>
    <row r="170" ht="15.75" spans="1:7">
      <c r="A170" s="257" t="s">
        <v>204</v>
      </c>
      <c r="B170" s="317"/>
      <c r="C170" s="79">
        <f t="shared" si="4"/>
        <v>0</v>
      </c>
      <c r="D170" s="80">
        <f t="shared" si="3"/>
        <v>0</v>
      </c>
      <c r="E170" s="80"/>
      <c r="F170" s="81"/>
      <c r="G170" s="81"/>
    </row>
    <row r="171" ht="15.75" spans="1:7">
      <c r="A171" s="257" t="s">
        <v>205</v>
      </c>
      <c r="B171" s="317"/>
      <c r="C171" s="79">
        <f t="shared" si="4"/>
        <v>0</v>
      </c>
      <c r="D171" s="80">
        <f t="shared" si="3"/>
        <v>0</v>
      </c>
      <c r="E171" s="80"/>
      <c r="F171" s="81"/>
      <c r="G171" s="81"/>
    </row>
    <row r="172" ht="15.75" spans="1:7">
      <c r="A172" s="257" t="s">
        <v>206</v>
      </c>
      <c r="B172" s="317"/>
      <c r="C172" s="79">
        <f t="shared" si="4"/>
        <v>0</v>
      </c>
      <c r="D172" s="80">
        <f t="shared" si="3"/>
        <v>0</v>
      </c>
      <c r="E172" s="80"/>
      <c r="F172" s="81"/>
      <c r="G172" s="81"/>
    </row>
    <row r="173" ht="15.75" spans="1:7">
      <c r="A173" s="257" t="s">
        <v>207</v>
      </c>
      <c r="B173" s="317"/>
      <c r="C173" s="79">
        <f t="shared" si="4"/>
        <v>0</v>
      </c>
      <c r="D173" s="80">
        <f t="shared" si="3"/>
        <v>0</v>
      </c>
      <c r="E173" s="80"/>
      <c r="F173" s="81"/>
      <c r="G173" s="81"/>
    </row>
    <row r="174" ht="15.75" spans="1:7">
      <c r="A174" s="257" t="s">
        <v>208</v>
      </c>
      <c r="B174" s="317"/>
      <c r="C174" s="79">
        <f t="shared" si="4"/>
        <v>0</v>
      </c>
      <c r="D174" s="80">
        <f t="shared" si="3"/>
        <v>0</v>
      </c>
      <c r="E174" s="80"/>
      <c r="F174" s="81"/>
      <c r="G174" s="81"/>
    </row>
    <row r="175" ht="15.75" spans="1:7">
      <c r="A175" s="257" t="s">
        <v>209</v>
      </c>
      <c r="B175" s="317"/>
      <c r="C175" s="79">
        <f t="shared" si="4"/>
        <v>0</v>
      </c>
      <c r="D175" s="80">
        <f t="shared" si="3"/>
        <v>0</v>
      </c>
      <c r="E175" s="80"/>
      <c r="F175" s="81"/>
      <c r="G175" s="81"/>
    </row>
    <row r="176" ht="15.75" spans="1:7">
      <c r="A176" s="257" t="s">
        <v>210</v>
      </c>
      <c r="B176" s="317"/>
      <c r="C176" s="79">
        <f t="shared" si="4"/>
        <v>0</v>
      </c>
      <c r="D176" s="80">
        <f t="shared" si="3"/>
        <v>0</v>
      </c>
      <c r="E176" s="80"/>
      <c r="F176" s="81"/>
      <c r="G176" s="81"/>
    </row>
    <row r="177" ht="15.75" spans="1:7">
      <c r="A177" s="257" t="s">
        <v>211</v>
      </c>
      <c r="B177" s="317"/>
      <c r="C177" s="79">
        <f t="shared" si="4"/>
        <v>0</v>
      </c>
      <c r="D177" s="80">
        <f t="shared" si="3"/>
        <v>0</v>
      </c>
      <c r="E177" s="80"/>
      <c r="F177" s="81"/>
      <c r="G177" s="81"/>
    </row>
    <row r="178" ht="15.75" spans="1:7">
      <c r="A178" s="257" t="s">
        <v>212</v>
      </c>
      <c r="B178" s="317"/>
      <c r="C178" s="79">
        <f t="shared" si="4"/>
        <v>0</v>
      </c>
      <c r="D178" s="80">
        <f t="shared" si="3"/>
        <v>0</v>
      </c>
      <c r="E178" s="80"/>
      <c r="F178" s="81"/>
      <c r="G178" s="81"/>
    </row>
    <row r="179" ht="15.75" spans="1:7">
      <c r="A179" s="257" t="s">
        <v>213</v>
      </c>
      <c r="B179" s="317"/>
      <c r="C179" s="79">
        <f t="shared" si="4"/>
        <v>0</v>
      </c>
      <c r="D179" s="80">
        <f t="shared" si="3"/>
        <v>0</v>
      </c>
      <c r="E179" s="80"/>
      <c r="F179" s="81"/>
      <c r="G179" s="81"/>
    </row>
    <row r="180" ht="15.75" spans="1:7">
      <c r="A180" s="257" t="s">
        <v>214</v>
      </c>
      <c r="B180" s="317"/>
      <c r="C180" s="79">
        <f t="shared" si="4"/>
        <v>0</v>
      </c>
      <c r="D180" s="80">
        <f t="shared" si="3"/>
        <v>0</v>
      </c>
      <c r="E180" s="80"/>
      <c r="F180" s="81"/>
      <c r="G180" s="81"/>
    </row>
    <row r="181" ht="15.75" spans="1:7">
      <c r="A181" s="257" t="s">
        <v>215</v>
      </c>
      <c r="B181" s="317"/>
      <c r="C181" s="79">
        <f t="shared" si="4"/>
        <v>0</v>
      </c>
      <c r="D181" s="80">
        <f t="shared" si="3"/>
        <v>0</v>
      </c>
      <c r="E181" s="80"/>
      <c r="F181" s="81"/>
      <c r="G181" s="81"/>
    </row>
    <row r="182" ht="15.75" spans="1:7">
      <c r="A182" s="257" t="s">
        <v>216</v>
      </c>
      <c r="B182" s="317"/>
      <c r="C182" s="79">
        <f t="shared" si="4"/>
        <v>0</v>
      </c>
      <c r="D182" s="80">
        <f t="shared" si="3"/>
        <v>0</v>
      </c>
      <c r="E182" s="80"/>
      <c r="F182" s="81"/>
      <c r="G182" s="81"/>
    </row>
    <row r="183" ht="15.75" spans="1:7">
      <c r="A183" s="257" t="s">
        <v>217</v>
      </c>
      <c r="B183" s="317"/>
      <c r="C183" s="79">
        <f t="shared" si="4"/>
        <v>0</v>
      </c>
      <c r="D183" s="80">
        <f t="shared" si="3"/>
        <v>0</v>
      </c>
      <c r="E183" s="80"/>
      <c r="F183" s="81"/>
      <c r="G183" s="81"/>
    </row>
    <row r="184" ht="15.75" spans="1:7">
      <c r="A184" s="257" t="s">
        <v>218</v>
      </c>
      <c r="B184" s="317"/>
      <c r="C184" s="79">
        <f t="shared" si="4"/>
        <v>0</v>
      </c>
      <c r="D184" s="80">
        <f t="shared" si="3"/>
        <v>0</v>
      </c>
      <c r="E184" s="80"/>
      <c r="F184" s="81"/>
      <c r="G184" s="81"/>
    </row>
    <row r="185" ht="15.75" spans="1:7">
      <c r="A185" s="257" t="s">
        <v>219</v>
      </c>
      <c r="B185" s="317"/>
      <c r="C185" s="79">
        <f t="shared" si="4"/>
        <v>0</v>
      </c>
      <c r="D185" s="80">
        <f t="shared" si="3"/>
        <v>0</v>
      </c>
      <c r="E185" s="80"/>
      <c r="F185" s="81"/>
      <c r="G185" s="81"/>
    </row>
    <row r="186" ht="15.75" spans="1:7">
      <c r="A186" s="257" t="s">
        <v>220</v>
      </c>
      <c r="B186" s="317"/>
      <c r="C186" s="79">
        <f t="shared" si="4"/>
        <v>0</v>
      </c>
      <c r="D186" s="80">
        <f t="shared" si="3"/>
        <v>0</v>
      </c>
      <c r="E186" s="80"/>
      <c r="F186" s="81"/>
      <c r="G186" s="81"/>
    </row>
    <row r="187" ht="15.75" spans="1:7">
      <c r="A187" s="257" t="s">
        <v>221</v>
      </c>
      <c r="B187" s="318"/>
      <c r="C187" s="79">
        <f t="shared" si="4"/>
        <v>0</v>
      </c>
      <c r="D187" s="80">
        <f t="shared" si="3"/>
        <v>0</v>
      </c>
      <c r="E187" s="80"/>
      <c r="F187" s="81"/>
      <c r="G187" s="81"/>
    </row>
    <row r="188" ht="15.75" spans="1:7">
      <c r="A188" s="257" t="s">
        <v>221</v>
      </c>
      <c r="B188" s="319"/>
      <c r="C188" s="79">
        <f t="shared" si="4"/>
        <v>0</v>
      </c>
      <c r="D188" s="260"/>
      <c r="E188" s="72"/>
      <c r="F188" s="73"/>
      <c r="G188" s="84"/>
    </row>
    <row r="189" ht="15.75" spans="1:7">
      <c r="A189" s="257"/>
      <c r="B189" s="257">
        <v>5.4</v>
      </c>
      <c r="C189" s="116"/>
      <c r="D189" s="260"/>
      <c r="E189" s="261" t="e">
        <f>AVERAGE(E138:E187)</f>
        <v>#DIV/0!</v>
      </c>
      <c r="F189" s="262" t="e">
        <f>AVERAGE(F138:F187)</f>
        <v>#DIV/0!</v>
      </c>
      <c r="G189" s="262"/>
    </row>
    <row r="190" ht="48.75" spans="1:7">
      <c r="A190" s="256" t="s">
        <v>233</v>
      </c>
      <c r="B190" s="257">
        <v>2.4</v>
      </c>
      <c r="C190" s="116"/>
      <c r="D190" s="260"/>
      <c r="E190" s="263" t="e">
        <f>B195</f>
        <v>#DIV/0!</v>
      </c>
      <c r="F190" s="264" t="e">
        <f>B196</f>
        <v>#DIV/0!</v>
      </c>
      <c r="G190" s="265"/>
    </row>
    <row r="191" ht="48.75" spans="1:7">
      <c r="A191" s="256" t="s">
        <v>224</v>
      </c>
      <c r="B191" s="116">
        <v>0.3</v>
      </c>
      <c r="C191" s="116"/>
      <c r="D191" s="72"/>
      <c r="E191" s="72"/>
      <c r="F191" s="73"/>
      <c r="G191" s="73"/>
    </row>
    <row r="192" ht="84.75" spans="1:7">
      <c r="A192" s="266" t="s">
        <v>225</v>
      </c>
      <c r="B192" s="116">
        <f>0.6*B190</f>
        <v>1.44</v>
      </c>
      <c r="C192" s="116"/>
      <c r="D192" s="72"/>
      <c r="E192" s="72" t="e">
        <f>0.6*E190</f>
        <v>#DIV/0!</v>
      </c>
      <c r="F192" s="73" t="e">
        <f>0.6*F190</f>
        <v>#DIV/0!</v>
      </c>
      <c r="G192" s="73"/>
    </row>
    <row r="195" spans="1:3">
      <c r="A195" s="531" t="s">
        <v>226</v>
      </c>
      <c r="B195" s="95" t="e">
        <f>AVERAGE(B143:B182)</f>
        <v>#DIV/0!</v>
      </c>
      <c r="C195" s="95"/>
    </row>
    <row r="196" spans="1:3">
      <c r="A196" s="531" t="s">
        <v>227</v>
      </c>
      <c r="B196" s="96" t="e">
        <f>AVERAGE(B148:B177)</f>
        <v>#DIV/0!</v>
      </c>
      <c r="C196" s="96"/>
    </row>
    <row r="197" spans="1:3">
      <c r="A197" s="531" t="s">
        <v>228</v>
      </c>
      <c r="B197" s="96" t="e">
        <f>AVERAGE(B154:B172)</f>
        <v>#DIV/0!</v>
      </c>
      <c r="C197" s="96"/>
    </row>
    <row r="200" customHeight="1" spans="1:7">
      <c r="A200" s="83" t="s">
        <v>165</v>
      </c>
      <c r="B200" s="83" t="s">
        <v>234</v>
      </c>
      <c r="C200" s="83"/>
      <c r="D200" s="83"/>
      <c r="E200" s="86">
        <f>(1-E255)^(1/3)-1</f>
        <v>-0.0355555998072102</v>
      </c>
      <c r="F200" s="86">
        <f>(1-F255)^(1/3)-1</f>
        <v>-0.0407886146801187</v>
      </c>
      <c r="G200" s="86"/>
    </row>
    <row r="201" ht="72" spans="1:7">
      <c r="A201" s="83"/>
      <c r="B201" s="83" t="s">
        <v>167</v>
      </c>
      <c r="C201" s="83"/>
      <c r="D201" s="83" t="s">
        <v>168</v>
      </c>
      <c r="E201" s="83" t="s">
        <v>169</v>
      </c>
      <c r="F201" s="84" t="s">
        <v>169</v>
      </c>
      <c r="G201" s="84"/>
    </row>
    <row r="202" ht="24" spans="1:7">
      <c r="A202" s="83"/>
      <c r="B202" s="83" t="s">
        <v>235</v>
      </c>
      <c r="C202" s="83"/>
      <c r="D202" s="83" t="s">
        <v>171</v>
      </c>
      <c r="E202" s="534" t="s">
        <v>227</v>
      </c>
      <c r="F202" s="84"/>
      <c r="G202" s="267"/>
    </row>
    <row r="203" spans="1:7">
      <c r="A203" s="75">
        <v>1</v>
      </c>
      <c r="B203" s="76">
        <v>2</v>
      </c>
      <c r="C203" s="76"/>
      <c r="D203" s="76">
        <v>3</v>
      </c>
      <c r="E203" s="76">
        <v>4</v>
      </c>
      <c r="F203" s="77">
        <v>5</v>
      </c>
      <c r="G203" s="77"/>
    </row>
    <row r="204" spans="1:7">
      <c r="A204" s="530" t="s">
        <v>172</v>
      </c>
      <c r="B204" s="103">
        <v>0.0106920017954038</v>
      </c>
      <c r="C204" s="89">
        <v>0</v>
      </c>
      <c r="D204" s="80">
        <v>0</v>
      </c>
      <c r="E204" s="80">
        <v>0</v>
      </c>
      <c r="F204" s="81">
        <v>0</v>
      </c>
      <c r="G204" s="81">
        <v>0</v>
      </c>
    </row>
    <row r="205" spans="1:7">
      <c r="A205" s="530" t="s">
        <v>173</v>
      </c>
      <c r="B205" s="103">
        <v>0.0120099060515453</v>
      </c>
      <c r="C205" s="79">
        <f>B204</f>
        <v>0.0106920017954038</v>
      </c>
      <c r="D205" s="80">
        <v>0</v>
      </c>
      <c r="E205" s="80">
        <v>0</v>
      </c>
      <c r="F205" s="81">
        <v>0</v>
      </c>
      <c r="G205" s="81">
        <v>0</v>
      </c>
    </row>
    <row r="206" spans="1:7">
      <c r="A206" s="530" t="s">
        <v>174</v>
      </c>
      <c r="B206" s="103">
        <v>0.0126343066379013</v>
      </c>
      <c r="C206" s="79">
        <f t="shared" ref="C206:C254" si="5">B205</f>
        <v>0.0120099060515453</v>
      </c>
      <c r="D206" s="80">
        <v>0</v>
      </c>
      <c r="E206" s="80">
        <v>0</v>
      </c>
      <c r="F206" s="81">
        <v>0</v>
      </c>
      <c r="G206" s="81">
        <v>0</v>
      </c>
    </row>
    <row r="207" spans="1:7">
      <c r="A207" s="530" t="s">
        <v>175</v>
      </c>
      <c r="B207" s="103">
        <v>0.013106787582226</v>
      </c>
      <c r="C207" s="79">
        <f t="shared" si="5"/>
        <v>0.0126343066379013</v>
      </c>
      <c r="D207" s="80">
        <v>0</v>
      </c>
      <c r="E207" s="80">
        <v>0</v>
      </c>
      <c r="F207" s="81">
        <v>0</v>
      </c>
      <c r="G207" s="81">
        <v>0</v>
      </c>
    </row>
    <row r="208" spans="1:7">
      <c r="A208" s="530" t="s">
        <v>176</v>
      </c>
      <c r="B208" s="103">
        <v>0.0133780760626398</v>
      </c>
      <c r="C208" s="79">
        <f t="shared" si="5"/>
        <v>0.013106787582226</v>
      </c>
      <c r="D208" s="80">
        <v>0</v>
      </c>
      <c r="E208" s="80">
        <v>0</v>
      </c>
      <c r="F208" s="81">
        <v>0</v>
      </c>
      <c r="G208" s="81">
        <v>0</v>
      </c>
    </row>
    <row r="209" spans="1:7">
      <c r="A209" s="530" t="s">
        <v>177</v>
      </c>
      <c r="B209" s="103">
        <v>0.0156595000323475</v>
      </c>
      <c r="C209" s="79">
        <f t="shared" si="5"/>
        <v>0.0133780760626398</v>
      </c>
      <c r="D209" s="80">
        <v>0</v>
      </c>
      <c r="E209" s="80">
        <v>0</v>
      </c>
      <c r="F209" s="81">
        <v>0</v>
      </c>
      <c r="G209" s="81">
        <v>0</v>
      </c>
    </row>
    <row r="210" spans="1:7">
      <c r="A210" s="530" t="s">
        <v>178</v>
      </c>
      <c r="B210" s="103">
        <v>0.017034632034632</v>
      </c>
      <c r="C210" s="79">
        <f t="shared" si="5"/>
        <v>0.0156595000323475</v>
      </c>
      <c r="D210" s="80">
        <v>0</v>
      </c>
      <c r="E210" s="80">
        <v>0</v>
      </c>
      <c r="F210" s="81">
        <v>0</v>
      </c>
      <c r="G210" s="81">
        <v>0</v>
      </c>
    </row>
    <row r="211" spans="1:7">
      <c r="A211" s="78" t="s">
        <v>179</v>
      </c>
      <c r="B211" s="103">
        <v>0.0258831480468987</v>
      </c>
      <c r="C211" s="79">
        <f t="shared" si="5"/>
        <v>0.017034632034632</v>
      </c>
      <c r="D211" s="80">
        <v>0</v>
      </c>
      <c r="E211" s="80">
        <v>0</v>
      </c>
      <c r="F211" s="81">
        <v>0</v>
      </c>
      <c r="G211" s="81">
        <v>0</v>
      </c>
    </row>
    <row r="212" spans="1:7">
      <c r="A212" s="78" t="s">
        <v>180</v>
      </c>
      <c r="B212" s="103">
        <v>0.0314088322347255</v>
      </c>
      <c r="C212" s="79">
        <f t="shared" si="5"/>
        <v>0.0258831480468987</v>
      </c>
      <c r="D212" s="80">
        <v>0</v>
      </c>
      <c r="E212" s="80">
        <v>0</v>
      </c>
      <c r="F212" s="81">
        <v>0</v>
      </c>
      <c r="G212" s="81">
        <v>0</v>
      </c>
    </row>
    <row r="213" spans="1:7">
      <c r="A213" s="78" t="s">
        <v>181</v>
      </c>
      <c r="B213" s="103">
        <v>0.0351372019793072</v>
      </c>
      <c r="C213" s="79">
        <f t="shared" si="5"/>
        <v>0.0314088322347255</v>
      </c>
      <c r="D213" s="80">
        <v>0</v>
      </c>
      <c r="E213" s="80">
        <v>0</v>
      </c>
      <c r="F213" s="81">
        <v>0</v>
      </c>
      <c r="G213" s="81">
        <v>0</v>
      </c>
    </row>
    <row r="214" spans="1:7">
      <c r="A214" s="78" t="s">
        <v>182</v>
      </c>
      <c r="B214" s="103">
        <v>0.0368005952380952</v>
      </c>
      <c r="C214" s="79">
        <f t="shared" si="5"/>
        <v>0.0351372019793072</v>
      </c>
      <c r="D214" s="80">
        <v>0</v>
      </c>
      <c r="E214" s="80">
        <v>0</v>
      </c>
      <c r="F214" s="81">
        <v>0</v>
      </c>
      <c r="G214" s="81">
        <v>0</v>
      </c>
    </row>
    <row r="215" spans="1:7">
      <c r="A215" s="78" t="s">
        <v>183</v>
      </c>
      <c r="B215" s="103">
        <v>0.0374864510749806</v>
      </c>
      <c r="C215" s="79">
        <f t="shared" si="5"/>
        <v>0.0368005952380952</v>
      </c>
      <c r="D215" s="80">
        <v>0</v>
      </c>
      <c r="E215" s="80">
        <v>0</v>
      </c>
      <c r="F215" s="81">
        <v>0</v>
      </c>
      <c r="G215" s="81">
        <v>0</v>
      </c>
    </row>
    <row r="216" spans="1:7">
      <c r="A216" s="78" t="s">
        <v>184</v>
      </c>
      <c r="B216" s="103">
        <v>0.0390047757475083</v>
      </c>
      <c r="C216" s="79">
        <f t="shared" si="5"/>
        <v>0.0374864510749806</v>
      </c>
      <c r="D216" s="80">
        <v>0</v>
      </c>
      <c r="E216" s="80">
        <v>0</v>
      </c>
      <c r="F216" s="81">
        <v>0</v>
      </c>
      <c r="G216" s="81">
        <v>0</v>
      </c>
    </row>
    <row r="217" spans="1:7">
      <c r="A217" s="78" t="s">
        <v>185</v>
      </c>
      <c r="B217" s="103">
        <v>0.0623883239952964</v>
      </c>
      <c r="C217" s="79">
        <f t="shared" si="5"/>
        <v>0.0390047757475083</v>
      </c>
      <c r="D217" s="80">
        <v>0</v>
      </c>
      <c r="E217" s="80">
        <v>0</v>
      </c>
      <c r="F217" s="81">
        <v>0</v>
      </c>
      <c r="G217" s="81">
        <v>0</v>
      </c>
    </row>
    <row r="218" spans="1:7">
      <c r="A218" s="78" t="s">
        <v>186</v>
      </c>
      <c r="B218" s="103">
        <v>0.0759243781316498</v>
      </c>
      <c r="C218" s="79">
        <f t="shared" si="5"/>
        <v>0.0623883239952964</v>
      </c>
      <c r="D218" s="80">
        <v>0</v>
      </c>
      <c r="E218" s="80">
        <v>0</v>
      </c>
      <c r="F218" s="81">
        <v>0</v>
      </c>
      <c r="G218" s="81">
        <v>0</v>
      </c>
    </row>
    <row r="219" spans="1:7">
      <c r="A219" s="78" t="s">
        <v>187</v>
      </c>
      <c r="B219" s="103">
        <v>0.0930227743271222</v>
      </c>
      <c r="C219" s="79">
        <f t="shared" si="5"/>
        <v>0.0759243781316498</v>
      </c>
      <c r="D219" s="80">
        <v>0</v>
      </c>
      <c r="E219" s="80">
        <v>0</v>
      </c>
      <c r="F219" s="81">
        <v>0</v>
      </c>
      <c r="G219" s="81">
        <v>0</v>
      </c>
    </row>
    <row r="220" spans="1:7">
      <c r="A220" s="78" t="s">
        <v>188</v>
      </c>
      <c r="B220" s="103">
        <v>0.110568977295485</v>
      </c>
      <c r="C220" s="79">
        <f t="shared" si="5"/>
        <v>0.0930227743271222</v>
      </c>
      <c r="D220" s="80">
        <v>0</v>
      </c>
      <c r="E220" s="80">
        <v>0</v>
      </c>
      <c r="F220" s="81">
        <v>0</v>
      </c>
      <c r="G220" s="81">
        <v>0</v>
      </c>
    </row>
    <row r="221" spans="1:7">
      <c r="A221" s="78" t="s">
        <v>189</v>
      </c>
      <c r="B221" s="103">
        <v>0.144446048203729</v>
      </c>
      <c r="C221" s="79">
        <f t="shared" si="5"/>
        <v>0.110568977295485</v>
      </c>
      <c r="D221" s="80">
        <v>0</v>
      </c>
      <c r="E221" s="80">
        <v>0</v>
      </c>
      <c r="F221" s="81">
        <v>0</v>
      </c>
      <c r="G221" s="81">
        <v>0</v>
      </c>
    </row>
    <row r="222" spans="1:7">
      <c r="A222" s="78" t="s">
        <v>190</v>
      </c>
      <c r="B222" s="103">
        <v>0.174620596205962</v>
      </c>
      <c r="C222" s="79">
        <f t="shared" si="5"/>
        <v>0.144446048203729</v>
      </c>
      <c r="D222" s="80">
        <v>0</v>
      </c>
      <c r="E222" s="80">
        <v>0</v>
      </c>
      <c r="F222" s="81">
        <v>0</v>
      </c>
      <c r="G222" s="81">
        <v>0</v>
      </c>
    </row>
    <row r="223" spans="1:7">
      <c r="A223" s="78" t="s">
        <v>191</v>
      </c>
      <c r="B223" s="103">
        <v>0.2834375</v>
      </c>
      <c r="C223" s="79">
        <f t="shared" si="5"/>
        <v>0.174620596205962</v>
      </c>
      <c r="D223" s="80">
        <v>0</v>
      </c>
      <c r="E223" s="80">
        <v>0</v>
      </c>
      <c r="F223" s="81">
        <v>0</v>
      </c>
      <c r="G223" s="81">
        <v>0</v>
      </c>
    </row>
    <row r="224" spans="1:7">
      <c r="A224" s="78" t="s">
        <v>192</v>
      </c>
      <c r="B224" s="103">
        <v>0.326666666666667</v>
      </c>
      <c r="C224" s="79">
        <f t="shared" si="5"/>
        <v>0.2834375</v>
      </c>
      <c r="D224" s="80">
        <v>0</v>
      </c>
      <c r="E224" s="80">
        <v>0</v>
      </c>
      <c r="F224" s="81">
        <v>0</v>
      </c>
      <c r="G224" s="81">
        <v>0</v>
      </c>
    </row>
    <row r="225" spans="1:7">
      <c r="A225" s="78" t="s">
        <v>193</v>
      </c>
      <c r="B225" s="103">
        <v>0.410526315789474</v>
      </c>
      <c r="C225" s="79">
        <f t="shared" si="5"/>
        <v>0.326666666666667</v>
      </c>
      <c r="D225" s="80">
        <v>0</v>
      </c>
      <c r="E225" s="80">
        <v>0</v>
      </c>
      <c r="F225" s="81">
        <v>0</v>
      </c>
      <c r="G225" s="81">
        <v>0</v>
      </c>
    </row>
    <row r="226" spans="1:7">
      <c r="A226" s="78" t="s">
        <v>194</v>
      </c>
      <c r="B226" s="103">
        <v>0.5</v>
      </c>
      <c r="C226" s="79">
        <f t="shared" si="5"/>
        <v>0.410526315789474</v>
      </c>
      <c r="D226" s="80">
        <v>0</v>
      </c>
      <c r="E226" s="80">
        <v>0</v>
      </c>
      <c r="F226" s="81">
        <v>0</v>
      </c>
      <c r="G226" s="81">
        <v>0</v>
      </c>
    </row>
    <row r="227" spans="1:7">
      <c r="A227" s="78" t="s">
        <v>195</v>
      </c>
      <c r="B227" s="103">
        <v>0.539429824561404</v>
      </c>
      <c r="C227" s="79">
        <f t="shared" si="5"/>
        <v>0.5</v>
      </c>
      <c r="D227" s="80">
        <v>0</v>
      </c>
      <c r="E227" s="80">
        <v>0</v>
      </c>
      <c r="F227" s="81">
        <v>0</v>
      </c>
      <c r="G227" s="81">
        <v>0</v>
      </c>
    </row>
    <row r="228" spans="1:7">
      <c r="A228" s="78" t="s">
        <v>196</v>
      </c>
      <c r="B228" s="103">
        <v>0.71</v>
      </c>
      <c r="C228" s="79">
        <f t="shared" si="5"/>
        <v>0.539429824561404</v>
      </c>
      <c r="D228" s="80">
        <v>0</v>
      </c>
      <c r="E228" s="80">
        <v>0</v>
      </c>
      <c r="F228" s="81">
        <v>0.00203090020891303</v>
      </c>
      <c r="G228" s="81">
        <v>0</v>
      </c>
    </row>
    <row r="229" spans="1:7">
      <c r="A229" s="78" t="s">
        <v>197</v>
      </c>
      <c r="B229" s="103">
        <v>0.825</v>
      </c>
      <c r="C229" s="79">
        <f t="shared" si="5"/>
        <v>0.71</v>
      </c>
      <c r="D229" s="80">
        <v>0</v>
      </c>
      <c r="E229" s="80">
        <v>0</v>
      </c>
      <c r="F229" s="81">
        <v>0.0156871989676706</v>
      </c>
      <c r="G229" s="81">
        <v>0</v>
      </c>
    </row>
    <row r="230" spans="1:7">
      <c r="A230" s="78" t="s">
        <v>198</v>
      </c>
      <c r="B230" s="103">
        <v>0.961538461538462</v>
      </c>
      <c r="C230" s="79">
        <f t="shared" si="5"/>
        <v>0.825</v>
      </c>
      <c r="D230" s="80">
        <v>0.0951079072811506</v>
      </c>
      <c r="E230" s="80">
        <v>0.00951079072811506</v>
      </c>
      <c r="F230" s="81">
        <v>0.0276596167142614</v>
      </c>
      <c r="G230" s="81">
        <v>0</v>
      </c>
    </row>
    <row r="231" spans="1:7">
      <c r="A231" s="78" t="s">
        <v>199</v>
      </c>
      <c r="B231" s="103">
        <v>1.05947826086957</v>
      </c>
      <c r="C231" s="79">
        <f t="shared" si="5"/>
        <v>0.961538461538462</v>
      </c>
      <c r="D231" s="80">
        <v>0.178757523559683</v>
      </c>
      <c r="E231" s="80">
        <v>0.0178757523559684</v>
      </c>
      <c r="F231" s="81">
        <v>0.0343468729650176</v>
      </c>
      <c r="G231" s="81">
        <v>0</v>
      </c>
    </row>
    <row r="232" spans="1:7">
      <c r="A232" s="78" t="s">
        <v>200</v>
      </c>
      <c r="B232" s="103">
        <v>1.16</v>
      </c>
      <c r="C232" s="79">
        <f t="shared" si="5"/>
        <v>1.05947826086957</v>
      </c>
      <c r="D232" s="80">
        <v>0.24992366319724</v>
      </c>
      <c r="E232" s="80">
        <v>0.024992366319724</v>
      </c>
      <c r="F232" s="81">
        <v>0.0402169266292841</v>
      </c>
      <c r="G232" s="81">
        <v>0</v>
      </c>
    </row>
    <row r="233" spans="1:7">
      <c r="A233" s="78" t="s">
        <v>201</v>
      </c>
      <c r="B233" s="103">
        <v>1.42321428571429</v>
      </c>
      <c r="C233" s="79">
        <f t="shared" si="5"/>
        <v>1.16</v>
      </c>
      <c r="D233" s="80">
        <v>0.388645434897023</v>
      </c>
      <c r="E233" s="80">
        <v>0.0388645434897023</v>
      </c>
      <c r="F233" s="81">
        <v>0.106756481227582</v>
      </c>
      <c r="G233" s="81">
        <v>0</v>
      </c>
    </row>
    <row r="234" spans="1:7">
      <c r="A234" s="78" t="s">
        <v>202</v>
      </c>
      <c r="B234" s="103">
        <v>1.675</v>
      </c>
      <c r="C234" s="79">
        <f t="shared" si="5"/>
        <v>1.42321428571429</v>
      </c>
      <c r="D234" s="80">
        <v>0.480544148841074</v>
      </c>
      <c r="E234" s="80">
        <v>0.0883264893046443</v>
      </c>
      <c r="F234" s="81">
        <v>0.150836796949236</v>
      </c>
      <c r="G234" s="81">
        <v>0</v>
      </c>
    </row>
    <row r="235" spans="1:7">
      <c r="A235" s="78" t="s">
        <v>203</v>
      </c>
      <c r="B235" s="103">
        <v>2</v>
      </c>
      <c r="C235" s="79">
        <f t="shared" si="5"/>
        <v>1.675</v>
      </c>
      <c r="D235" s="80">
        <v>0.564955724654399</v>
      </c>
      <c r="E235" s="80">
        <v>0.13897343479264</v>
      </c>
      <c r="F235" s="81">
        <v>0.191325817444985</v>
      </c>
      <c r="G235" s="81">
        <v>0</v>
      </c>
    </row>
    <row r="236" spans="1:7">
      <c r="A236" s="78" t="s">
        <v>204</v>
      </c>
      <c r="B236" s="103">
        <v>2.03333333333333</v>
      </c>
      <c r="C236" s="79">
        <f t="shared" si="5"/>
        <v>2</v>
      </c>
      <c r="D236" s="80">
        <v>0.572087598020721</v>
      </c>
      <c r="E236" s="80">
        <v>0.143252558812432</v>
      </c>
      <c r="F236" s="81">
        <v>0.194746705683592</v>
      </c>
      <c r="G236" s="81">
        <v>0</v>
      </c>
    </row>
    <row r="237" spans="1:7">
      <c r="A237" s="78" t="s">
        <v>205</v>
      </c>
      <c r="B237" s="103">
        <v>2.1639880952381</v>
      </c>
      <c r="C237" s="79">
        <f t="shared" si="5"/>
        <v>2.03333333333333</v>
      </c>
      <c r="D237" s="80">
        <v>0.597923596434818</v>
      </c>
      <c r="E237" s="80">
        <v>0.158754157860891</v>
      </c>
      <c r="F237" s="81">
        <v>0.207139250891253</v>
      </c>
      <c r="G237" s="81">
        <v>0</v>
      </c>
    </row>
    <row r="238" spans="1:7">
      <c r="A238" s="78" t="s">
        <v>206</v>
      </c>
      <c r="B238" s="103">
        <v>2.35</v>
      </c>
      <c r="C238" s="79">
        <f t="shared" si="5"/>
        <v>2.1639880952381</v>
      </c>
      <c r="D238" s="80">
        <v>0.629749552897361</v>
      </c>
      <c r="E238" s="80">
        <v>0.177849731738417</v>
      </c>
      <c r="F238" s="81">
        <v>0.222404951017008</v>
      </c>
      <c r="G238" s="81">
        <v>0</v>
      </c>
    </row>
    <row r="239" spans="1:7">
      <c r="A239" s="78" t="s">
        <v>207</v>
      </c>
      <c r="B239" s="103">
        <v>2.5</v>
      </c>
      <c r="C239" s="79">
        <f t="shared" si="5"/>
        <v>2.35</v>
      </c>
      <c r="D239" s="80">
        <v>0.651964579723519</v>
      </c>
      <c r="E239" s="80">
        <v>0.191178747834112</v>
      </c>
      <c r="F239" s="81">
        <v>0.233060653955988</v>
      </c>
      <c r="G239" s="81">
        <v>0</v>
      </c>
    </row>
    <row r="240" spans="1:7">
      <c r="A240" s="78" t="s">
        <v>208</v>
      </c>
      <c r="B240" s="103">
        <v>2.876</v>
      </c>
      <c r="C240" s="79">
        <f t="shared" si="5"/>
        <v>2.5</v>
      </c>
      <c r="D240" s="80">
        <v>0.697465733417524</v>
      </c>
      <c r="E240" s="80">
        <v>0.218479440050514</v>
      </c>
      <c r="F240" s="81">
        <v>0.254885825761464</v>
      </c>
      <c r="G240" s="81">
        <v>0</v>
      </c>
    </row>
    <row r="241" spans="1:7">
      <c r="A241" s="78" t="s">
        <v>209</v>
      </c>
      <c r="B241" s="103">
        <v>3.23007142857143</v>
      </c>
      <c r="C241" s="79">
        <f t="shared" si="5"/>
        <v>2.876</v>
      </c>
      <c r="D241" s="80">
        <v>0.730628696630397</v>
      </c>
      <c r="E241" s="80">
        <v>0.238377217978238</v>
      </c>
      <c r="F241" s="81">
        <v>0.270792837143353</v>
      </c>
      <c r="G241" s="81">
        <v>0.0108378850534044</v>
      </c>
    </row>
    <row r="242" spans="1:7">
      <c r="A242" s="78" t="s">
        <v>210</v>
      </c>
      <c r="B242" s="103">
        <v>3.31333333333333</v>
      </c>
      <c r="C242" s="79">
        <f t="shared" si="5"/>
        <v>3.23007142857143</v>
      </c>
      <c r="D242" s="80">
        <v>0.737397821722977</v>
      </c>
      <c r="E242" s="80">
        <v>0.242438693033786</v>
      </c>
      <c r="F242" s="81">
        <v>0.274039728840031</v>
      </c>
      <c r="G242" s="81">
        <v>0.0130784708249497</v>
      </c>
    </row>
    <row r="243" spans="1:7">
      <c r="A243" s="78" t="s">
        <v>211</v>
      </c>
      <c r="B243" s="103">
        <v>3.66375</v>
      </c>
      <c r="C243" s="79">
        <f t="shared" si="5"/>
        <v>3.31333333333333</v>
      </c>
      <c r="D243" s="80">
        <v>0.762514213390324</v>
      </c>
      <c r="E243" s="80">
        <v>0.257508528034194</v>
      </c>
      <c r="F243" s="81">
        <v>0.286087106077099</v>
      </c>
      <c r="G243" s="81">
        <v>0.0213920163766633</v>
      </c>
    </row>
    <row r="244" spans="1:7">
      <c r="A244" s="78" t="s">
        <v>212</v>
      </c>
      <c r="B244" s="103">
        <v>3.75714285714286</v>
      </c>
      <c r="C244" s="79">
        <f t="shared" si="5"/>
        <v>3.66375</v>
      </c>
      <c r="D244" s="80">
        <v>0.768417496013749</v>
      </c>
      <c r="E244" s="80">
        <v>0.261050497608249</v>
      </c>
      <c r="F244" s="81">
        <v>0.288918686092387</v>
      </c>
      <c r="G244" s="81">
        <v>0.0233460076045627</v>
      </c>
    </row>
    <row r="245" spans="1:7">
      <c r="A245" s="78" t="s">
        <v>213</v>
      </c>
      <c r="B245" s="103">
        <v>3.92857142857143</v>
      </c>
      <c r="C245" s="79">
        <f t="shared" si="5"/>
        <v>3.75714285714286</v>
      </c>
      <c r="D245" s="80">
        <v>0.778522914369512</v>
      </c>
      <c r="E245" s="80">
        <v>0.267113748621707</v>
      </c>
      <c r="F245" s="81">
        <v>0.293765870699265</v>
      </c>
      <c r="G245" s="81">
        <v>0.0266909090909091</v>
      </c>
    </row>
    <row r="246" spans="1:7">
      <c r="A246" s="78" t="s">
        <v>214</v>
      </c>
      <c r="B246" s="103">
        <v>4.1</v>
      </c>
      <c r="C246" s="79">
        <f t="shared" si="5"/>
        <v>3.92857142857143</v>
      </c>
      <c r="D246" s="80">
        <v>0.787783280319219</v>
      </c>
      <c r="E246" s="80">
        <v>0.272669968191531</v>
      </c>
      <c r="F246" s="81">
        <v>0.298207715826822</v>
      </c>
      <c r="G246" s="81">
        <v>0.0297560975609756</v>
      </c>
    </row>
    <row r="247" spans="1:7">
      <c r="A247" s="78" t="s">
        <v>215</v>
      </c>
      <c r="B247" s="103">
        <v>4.8625</v>
      </c>
      <c r="C247" s="79">
        <f t="shared" si="5"/>
        <v>4.1</v>
      </c>
      <c r="D247" s="80">
        <v>0.821061480577645</v>
      </c>
      <c r="E247" s="80">
        <v>0.292636888346587</v>
      </c>
      <c r="F247" s="81">
        <v>0.314170002033927</v>
      </c>
      <c r="G247" s="81">
        <v>0.0446272493573265</v>
      </c>
    </row>
    <row r="248" spans="1:7">
      <c r="A248" s="78" t="s">
        <v>216</v>
      </c>
      <c r="B248" s="103">
        <v>6.45353535353535</v>
      </c>
      <c r="C248" s="79">
        <f t="shared" si="5"/>
        <v>4.8625</v>
      </c>
      <c r="D248" s="80">
        <v>0.865176449337253</v>
      </c>
      <c r="E248" s="80">
        <v>0.319105869602352</v>
      </c>
      <c r="F248" s="81">
        <v>0.33533027367993</v>
      </c>
      <c r="G248" s="81">
        <v>0.132239787134137</v>
      </c>
    </row>
    <row r="249" spans="1:7">
      <c r="A249" s="78" t="s">
        <v>217</v>
      </c>
      <c r="B249" s="103">
        <v>8.30695652173913</v>
      </c>
      <c r="C249" s="79">
        <f t="shared" si="5"/>
        <v>6.45353535353535</v>
      </c>
      <c r="D249" s="80">
        <v>0.89525784221764</v>
      </c>
      <c r="E249" s="80">
        <v>0.337154705330584</v>
      </c>
      <c r="F249" s="81">
        <v>0.349759173047573</v>
      </c>
      <c r="G249" s="81">
        <v>0.191981576468125</v>
      </c>
    </row>
    <row r="250" spans="1:7">
      <c r="A250" s="78" t="s">
        <v>218</v>
      </c>
      <c r="B250" s="103">
        <v>10.5</v>
      </c>
      <c r="C250" s="79">
        <f t="shared" si="5"/>
        <v>8.30695652173913</v>
      </c>
      <c r="D250" s="80">
        <v>0.917134423743695</v>
      </c>
      <c r="E250" s="80">
        <v>0.350280654246217</v>
      </c>
      <c r="F250" s="81">
        <v>0.360252536656188</v>
      </c>
      <c r="G250" s="81">
        <v>0.235428571428571</v>
      </c>
    </row>
    <row r="251" spans="1:7">
      <c r="A251" s="78" t="s">
        <v>219</v>
      </c>
      <c r="B251" s="103">
        <v>12.8</v>
      </c>
      <c r="C251" s="79">
        <f t="shared" si="5"/>
        <v>10.5</v>
      </c>
      <c r="D251" s="80">
        <v>0.93202433197725</v>
      </c>
      <c r="E251" s="80">
        <v>0.35921459918635</v>
      </c>
      <c r="F251" s="81">
        <v>0.367394658975779</v>
      </c>
      <c r="G251" s="81">
        <v>0.265</v>
      </c>
    </row>
    <row r="252" spans="1:7">
      <c r="A252" s="78" t="s">
        <v>220</v>
      </c>
      <c r="B252" s="103">
        <v>14.9716666666667</v>
      </c>
      <c r="C252" s="79">
        <f t="shared" si="5"/>
        <v>12.8</v>
      </c>
      <c r="D252" s="80">
        <v>0.941884322563206</v>
      </c>
      <c r="E252" s="80">
        <v>0.365130593537924</v>
      </c>
      <c r="F252" s="81">
        <v>0.372124121221639</v>
      </c>
      <c r="G252" s="81">
        <v>0.284581988199933</v>
      </c>
    </row>
    <row r="253" spans="1:7">
      <c r="A253" s="78" t="s">
        <v>221</v>
      </c>
      <c r="B253" s="314">
        <v>21.0652777777778</v>
      </c>
      <c r="C253" s="79">
        <f t="shared" si="5"/>
        <v>14.9716666666667</v>
      </c>
      <c r="D253" s="80">
        <v>0.958695605162678</v>
      </c>
      <c r="E253" s="80">
        <v>0.375217363097607</v>
      </c>
      <c r="F253" s="81">
        <v>0.380187853703486</v>
      </c>
      <c r="G253" s="81">
        <v>0.317969275400541</v>
      </c>
    </row>
    <row r="254" spans="1:7">
      <c r="A254" s="78" t="s">
        <v>221</v>
      </c>
      <c r="B254" s="78" t="s">
        <v>358</v>
      </c>
      <c r="C254" s="79">
        <f t="shared" si="5"/>
        <v>21.0652777777778</v>
      </c>
      <c r="D254" s="117"/>
      <c r="E254" s="83"/>
      <c r="F254" s="84"/>
      <c r="G254" s="84"/>
    </row>
    <row r="255" spans="1:7">
      <c r="A255" s="78"/>
      <c r="B255" s="78">
        <v>5.4</v>
      </c>
      <c r="C255" s="78"/>
      <c r="D255" s="117"/>
      <c r="E255" s="85">
        <v>0.10291914680205</v>
      </c>
      <c r="F255" s="86">
        <v>0.117442571248275</v>
      </c>
      <c r="G255" s="86">
        <v>0.031938596690002</v>
      </c>
    </row>
    <row r="256" ht="48" spans="1:7">
      <c r="A256" s="87" t="s">
        <v>233</v>
      </c>
      <c r="B256" s="78">
        <v>4.8</v>
      </c>
      <c r="C256" s="78"/>
      <c r="D256" s="117"/>
      <c r="E256" s="127">
        <v>1.45014758448534</v>
      </c>
      <c r="F256" s="128">
        <v>1.15930101419453</v>
      </c>
      <c r="G256" s="129">
        <v>4.8</v>
      </c>
    </row>
    <row r="257" ht="48" spans="1:7">
      <c r="A257" s="87" t="s">
        <v>224</v>
      </c>
      <c r="B257" s="78">
        <v>0.946</v>
      </c>
      <c r="C257" s="78"/>
      <c r="D257" s="83"/>
      <c r="E257" s="83"/>
      <c r="F257" s="84"/>
      <c r="G257" s="84"/>
    </row>
    <row r="258" ht="84" spans="1:7">
      <c r="A258" s="106" t="s">
        <v>225</v>
      </c>
      <c r="B258" s="78">
        <v>2.88</v>
      </c>
      <c r="C258" s="78"/>
      <c r="D258" s="83"/>
      <c r="E258" s="83">
        <v>0.870088550691201</v>
      </c>
      <c r="F258" s="84">
        <v>0.695580608516717</v>
      </c>
      <c r="G258" s="84">
        <v>2.88</v>
      </c>
    </row>
    <row r="261" spans="1:3">
      <c r="A261" s="531" t="s">
        <v>226</v>
      </c>
      <c r="B261" s="95">
        <f>AVERAGE(B209:B248)</f>
        <v>1.45014758448534</v>
      </c>
      <c r="C261" s="95"/>
    </row>
    <row r="262" spans="1:3">
      <c r="A262" s="531" t="s">
        <v>227</v>
      </c>
      <c r="B262" s="96">
        <f>AVERAGE(B214:B243)</f>
        <v>1.15930101419453</v>
      </c>
      <c r="C262" s="96"/>
    </row>
    <row r="263" spans="1:3">
      <c r="A263" s="531" t="s">
        <v>228</v>
      </c>
      <c r="B263" s="96">
        <f>AVERAGE(B220:B238)</f>
        <v>0.992170966600866</v>
      </c>
      <c r="C263" s="96"/>
    </row>
    <row r="264" ht="15.75"/>
    <row r="265" customHeight="1" spans="1:7">
      <c r="A265" s="252"/>
      <c r="B265" s="268"/>
      <c r="C265" s="269"/>
      <c r="D265" s="270"/>
      <c r="E265" s="70"/>
      <c r="F265" s="70"/>
      <c r="G265" s="70"/>
    </row>
    <row r="266" spans="1:7">
      <c r="A266" s="253"/>
      <c r="B266" s="83"/>
      <c r="D266" s="83"/>
      <c r="E266" s="83"/>
      <c r="F266" s="84"/>
      <c r="G266" s="84"/>
    </row>
    <row r="267" ht="15.75" spans="1:7">
      <c r="A267" s="254"/>
      <c r="B267" s="257"/>
      <c r="C267" s="130"/>
      <c r="D267" s="271"/>
      <c r="E267" s="271"/>
      <c r="F267" s="271"/>
      <c r="G267" s="271"/>
    </row>
    <row r="268" ht="15.75" spans="1:7">
      <c r="A268" s="75"/>
      <c r="B268" s="76"/>
      <c r="D268" s="76"/>
      <c r="E268" s="76"/>
      <c r="F268" s="77"/>
      <c r="G268" s="77"/>
    </row>
    <row r="269" ht="15.75" spans="1:7">
      <c r="A269" s="257"/>
      <c r="B269" s="272"/>
      <c r="D269" s="80"/>
      <c r="E269" s="80"/>
      <c r="F269" s="81"/>
      <c r="G269" s="81"/>
    </row>
    <row r="270" ht="15.75" spans="1:7">
      <c r="A270" s="257"/>
      <c r="B270" s="74"/>
      <c r="C270">
        <v>0</v>
      </c>
      <c r="D270" s="80"/>
      <c r="E270" s="80"/>
      <c r="F270" s="81"/>
      <c r="G270" s="81"/>
    </row>
    <row r="271" ht="15.75" spans="1:7">
      <c r="A271" s="257"/>
      <c r="B271" s="74"/>
      <c r="C271" s="79">
        <f>B270</f>
        <v>0</v>
      </c>
      <c r="D271" s="80"/>
      <c r="E271" s="80"/>
      <c r="F271" s="81"/>
      <c r="G271" s="81"/>
    </row>
    <row r="272" ht="15.75" spans="1:7">
      <c r="A272" s="257"/>
      <c r="B272" s="74"/>
      <c r="C272" s="79">
        <f t="shared" ref="C272:C320" si="6">B271</f>
        <v>0</v>
      </c>
      <c r="D272" s="80"/>
      <c r="E272" s="80"/>
      <c r="F272" s="81"/>
      <c r="G272" s="81"/>
    </row>
    <row r="273" ht="15.75" spans="1:7">
      <c r="A273" s="257"/>
      <c r="B273" s="74"/>
      <c r="C273" s="79">
        <f t="shared" si="6"/>
        <v>0</v>
      </c>
      <c r="D273" s="80"/>
      <c r="E273" s="80"/>
      <c r="F273" s="81"/>
      <c r="G273" s="81"/>
    </row>
    <row r="274" ht="15.75" spans="1:7">
      <c r="A274" s="257"/>
      <c r="B274" s="74"/>
      <c r="C274" s="79">
        <f t="shared" si="6"/>
        <v>0</v>
      </c>
      <c r="D274" s="80"/>
      <c r="E274" s="80"/>
      <c r="F274" s="81"/>
      <c r="G274" s="81"/>
    </row>
    <row r="275" ht="15.75" spans="1:7">
      <c r="A275" s="257"/>
      <c r="B275" s="74"/>
      <c r="C275" s="79">
        <f t="shared" si="6"/>
        <v>0</v>
      </c>
      <c r="D275" s="80"/>
      <c r="E275" s="80"/>
      <c r="F275" s="81"/>
      <c r="G275" s="81"/>
    </row>
    <row r="276" ht="15.75" spans="1:7">
      <c r="A276" s="257"/>
      <c r="B276" s="74"/>
      <c r="C276" s="79">
        <f t="shared" si="6"/>
        <v>0</v>
      </c>
      <c r="D276" s="80"/>
      <c r="E276" s="80"/>
      <c r="F276" s="81"/>
      <c r="G276" s="81"/>
    </row>
    <row r="277" ht="15.75" spans="1:7">
      <c r="A277" s="257"/>
      <c r="B277" s="74"/>
      <c r="C277" s="79">
        <f t="shared" si="6"/>
        <v>0</v>
      </c>
      <c r="D277" s="80"/>
      <c r="E277" s="80"/>
      <c r="F277" s="81"/>
      <c r="G277" s="81"/>
    </row>
    <row r="278" ht="15.75" spans="1:7">
      <c r="A278" s="257"/>
      <c r="B278" s="74"/>
      <c r="C278" s="79">
        <f t="shared" si="6"/>
        <v>0</v>
      </c>
      <c r="D278" s="80"/>
      <c r="E278" s="80"/>
      <c r="F278" s="81"/>
      <c r="G278" s="81"/>
    </row>
    <row r="279" ht="15.75" spans="1:7">
      <c r="A279" s="257"/>
      <c r="B279" s="74"/>
      <c r="C279" s="79">
        <f t="shared" si="6"/>
        <v>0</v>
      </c>
      <c r="D279" s="80"/>
      <c r="E279" s="80"/>
      <c r="F279" s="81"/>
      <c r="G279" s="81"/>
    </row>
    <row r="280" ht="15.75" spans="1:7">
      <c r="A280" s="257"/>
      <c r="B280" s="74"/>
      <c r="C280" s="79">
        <f t="shared" si="6"/>
        <v>0</v>
      </c>
      <c r="D280" s="80"/>
      <c r="E280" s="80"/>
      <c r="F280" s="81"/>
      <c r="G280" s="81"/>
    </row>
    <row r="281" ht="15.75" spans="1:7">
      <c r="A281" s="257"/>
      <c r="B281" s="74"/>
      <c r="C281" s="79">
        <f t="shared" si="6"/>
        <v>0</v>
      </c>
      <c r="D281" s="80"/>
      <c r="E281" s="80"/>
      <c r="F281" s="81"/>
      <c r="G281" s="81"/>
    </row>
    <row r="282" ht="15.75" spans="1:7">
      <c r="A282" s="257"/>
      <c r="B282" s="74"/>
      <c r="C282" s="79">
        <f t="shared" si="6"/>
        <v>0</v>
      </c>
      <c r="D282" s="80"/>
      <c r="E282" s="80"/>
      <c r="F282" s="81"/>
      <c r="G282" s="81"/>
    </row>
    <row r="283" ht="15.75" spans="1:7">
      <c r="A283" s="257"/>
      <c r="B283" s="74"/>
      <c r="C283" s="79">
        <f t="shared" si="6"/>
        <v>0</v>
      </c>
      <c r="D283" s="80"/>
      <c r="E283" s="80"/>
      <c r="F283" s="81"/>
      <c r="G283" s="81"/>
    </row>
    <row r="284" ht="15.75" spans="1:7">
      <c r="A284" s="257"/>
      <c r="B284" s="74"/>
      <c r="C284" s="79">
        <f t="shared" si="6"/>
        <v>0</v>
      </c>
      <c r="D284" s="80"/>
      <c r="E284" s="80"/>
      <c r="F284" s="81"/>
      <c r="G284" s="81"/>
    </row>
    <row r="285" ht="15.75" spans="1:7">
      <c r="A285" s="257"/>
      <c r="B285" s="74"/>
      <c r="C285" s="79">
        <f t="shared" si="6"/>
        <v>0</v>
      </c>
      <c r="D285" s="80"/>
      <c r="E285" s="80"/>
      <c r="F285" s="81"/>
      <c r="G285" s="81"/>
    </row>
    <row r="286" ht="15.75" spans="1:7">
      <c r="A286" s="257"/>
      <c r="B286" s="74"/>
      <c r="C286" s="79">
        <f t="shared" si="6"/>
        <v>0</v>
      </c>
      <c r="D286" s="80"/>
      <c r="E286" s="80"/>
      <c r="F286" s="81"/>
      <c r="G286" s="81"/>
    </row>
    <row r="287" ht="15.75" spans="1:7">
      <c r="A287" s="257"/>
      <c r="B287" s="74"/>
      <c r="C287" s="79">
        <f t="shared" si="6"/>
        <v>0</v>
      </c>
      <c r="D287" s="80"/>
      <c r="E287" s="80"/>
      <c r="F287" s="81"/>
      <c r="G287" s="81"/>
    </row>
    <row r="288" ht="15.75" spans="1:7">
      <c r="A288" s="257"/>
      <c r="B288" s="74"/>
      <c r="C288" s="79">
        <f t="shared" si="6"/>
        <v>0</v>
      </c>
      <c r="D288" s="80"/>
      <c r="E288" s="80"/>
      <c r="F288" s="81"/>
      <c r="G288" s="81"/>
    </row>
    <row r="289" ht="15.75" spans="1:7">
      <c r="A289" s="257"/>
      <c r="B289" s="74"/>
      <c r="C289" s="79">
        <f t="shared" si="6"/>
        <v>0</v>
      </c>
      <c r="D289" s="80"/>
      <c r="E289" s="80"/>
      <c r="F289" s="81"/>
      <c r="G289" s="81"/>
    </row>
    <row r="290" ht="15.75" spans="1:7">
      <c r="A290" s="257"/>
      <c r="B290" s="74"/>
      <c r="C290" s="79">
        <f t="shared" si="6"/>
        <v>0</v>
      </c>
      <c r="D290" s="80"/>
      <c r="E290" s="80"/>
      <c r="F290" s="81"/>
      <c r="G290" s="81"/>
    </row>
    <row r="291" ht="15.75" spans="1:7">
      <c r="A291" s="257"/>
      <c r="B291" s="74"/>
      <c r="C291" s="79">
        <f t="shared" si="6"/>
        <v>0</v>
      </c>
      <c r="D291" s="80"/>
      <c r="E291" s="80"/>
      <c r="F291" s="81"/>
      <c r="G291" s="81"/>
    </row>
    <row r="292" ht="15.75" spans="1:7">
      <c r="A292" s="257"/>
      <c r="B292" s="74"/>
      <c r="C292" s="79">
        <f t="shared" si="6"/>
        <v>0</v>
      </c>
      <c r="D292" s="80"/>
      <c r="E292" s="80"/>
      <c r="F292" s="81"/>
      <c r="G292" s="81"/>
    </row>
    <row r="293" ht="15.75" spans="1:7">
      <c r="A293" s="257"/>
      <c r="B293" s="74"/>
      <c r="C293" s="79">
        <f t="shared" si="6"/>
        <v>0</v>
      </c>
      <c r="D293" s="80"/>
      <c r="E293" s="80"/>
      <c r="F293" s="81"/>
      <c r="G293" s="81"/>
    </row>
    <row r="294" ht="15.75" spans="1:7">
      <c r="A294" s="257"/>
      <c r="B294" s="74"/>
      <c r="C294" s="79">
        <f t="shared" si="6"/>
        <v>0</v>
      </c>
      <c r="D294" s="80"/>
      <c r="E294" s="80"/>
      <c r="F294" s="81"/>
      <c r="G294" s="81"/>
    </row>
    <row r="295" ht="15.75" spans="1:7">
      <c r="A295" s="257"/>
      <c r="B295" s="74"/>
      <c r="C295" s="79">
        <f t="shared" si="6"/>
        <v>0</v>
      </c>
      <c r="D295" s="80"/>
      <c r="E295" s="80"/>
      <c r="F295" s="81"/>
      <c r="G295" s="81"/>
    </row>
    <row r="296" ht="15.75" spans="1:7">
      <c r="A296" s="257"/>
      <c r="B296" s="74"/>
      <c r="C296" s="79">
        <f t="shared" si="6"/>
        <v>0</v>
      </c>
      <c r="D296" s="80"/>
      <c r="E296" s="80"/>
      <c r="F296" s="81"/>
      <c r="G296" s="81"/>
    </row>
    <row r="297" ht="15.75" spans="1:7">
      <c r="A297" s="257"/>
      <c r="B297" s="74"/>
      <c r="C297" s="79">
        <f t="shared" si="6"/>
        <v>0</v>
      </c>
      <c r="D297" s="80"/>
      <c r="E297" s="80"/>
      <c r="F297" s="81"/>
      <c r="G297" s="81"/>
    </row>
    <row r="298" ht="15.75" spans="1:7">
      <c r="A298" s="257"/>
      <c r="B298" s="74"/>
      <c r="C298" s="79">
        <f t="shared" si="6"/>
        <v>0</v>
      </c>
      <c r="D298" s="80"/>
      <c r="E298" s="80"/>
      <c r="F298" s="81"/>
      <c r="G298" s="81"/>
    </row>
    <row r="299" ht="15.75" spans="1:7">
      <c r="A299" s="257"/>
      <c r="B299" s="74"/>
      <c r="C299" s="79">
        <f t="shared" si="6"/>
        <v>0</v>
      </c>
      <c r="D299" s="80"/>
      <c r="E299" s="80"/>
      <c r="F299" s="81"/>
      <c r="G299" s="81"/>
    </row>
    <row r="300" ht="15.75" spans="1:7">
      <c r="A300" s="257"/>
      <c r="B300" s="74"/>
      <c r="C300" s="79">
        <f t="shared" si="6"/>
        <v>0</v>
      </c>
      <c r="D300" s="80"/>
      <c r="E300" s="80"/>
      <c r="F300" s="81"/>
      <c r="G300" s="81"/>
    </row>
    <row r="301" ht="15.75" spans="1:7">
      <c r="A301" s="257"/>
      <c r="B301" s="74"/>
      <c r="C301" s="79">
        <f t="shared" si="6"/>
        <v>0</v>
      </c>
      <c r="D301" s="80"/>
      <c r="E301" s="80"/>
      <c r="F301" s="81"/>
      <c r="G301" s="81"/>
    </row>
    <row r="302" ht="15.75" spans="1:7">
      <c r="A302" s="257"/>
      <c r="B302" s="74"/>
      <c r="C302" s="79">
        <f t="shared" si="6"/>
        <v>0</v>
      </c>
      <c r="D302" s="80"/>
      <c r="E302" s="80"/>
      <c r="F302" s="81"/>
      <c r="G302" s="81"/>
    </row>
    <row r="303" ht="15.75" spans="1:7">
      <c r="A303" s="257"/>
      <c r="B303" s="74"/>
      <c r="C303" s="79">
        <f t="shared" si="6"/>
        <v>0</v>
      </c>
      <c r="D303" s="80"/>
      <c r="E303" s="80"/>
      <c r="F303" s="81"/>
      <c r="G303" s="81"/>
    </row>
    <row r="304" ht="15.75" spans="1:7">
      <c r="A304" s="257"/>
      <c r="B304" s="74"/>
      <c r="C304" s="79">
        <f t="shared" si="6"/>
        <v>0</v>
      </c>
      <c r="D304" s="80"/>
      <c r="E304" s="80"/>
      <c r="F304" s="81"/>
      <c r="G304" s="81"/>
    </row>
    <row r="305" ht="15.75" spans="1:7">
      <c r="A305" s="257"/>
      <c r="B305" s="74"/>
      <c r="C305" s="79">
        <f t="shared" si="6"/>
        <v>0</v>
      </c>
      <c r="D305" s="80"/>
      <c r="E305" s="80"/>
      <c r="F305" s="81"/>
      <c r="G305" s="81"/>
    </row>
    <row r="306" ht="15.75" spans="1:7">
      <c r="A306" s="257"/>
      <c r="B306" s="74"/>
      <c r="C306" s="79">
        <f t="shared" si="6"/>
        <v>0</v>
      </c>
      <c r="D306" s="80"/>
      <c r="E306" s="80"/>
      <c r="F306" s="81"/>
      <c r="G306" s="81"/>
    </row>
    <row r="307" ht="15.75" spans="1:7">
      <c r="A307" s="257"/>
      <c r="B307" s="74"/>
      <c r="C307" s="79">
        <f t="shared" si="6"/>
        <v>0</v>
      </c>
      <c r="D307" s="80"/>
      <c r="E307" s="80"/>
      <c r="F307" s="81"/>
      <c r="G307" s="81"/>
    </row>
    <row r="308" ht="15.75" spans="1:7">
      <c r="A308" s="257"/>
      <c r="B308" s="74"/>
      <c r="C308" s="79">
        <f t="shared" si="6"/>
        <v>0</v>
      </c>
      <c r="D308" s="80"/>
      <c r="E308" s="80"/>
      <c r="F308" s="81"/>
      <c r="G308" s="81"/>
    </row>
    <row r="309" ht="15.75" spans="1:7">
      <c r="A309" s="257"/>
      <c r="B309" s="74"/>
      <c r="C309" s="79">
        <f t="shared" si="6"/>
        <v>0</v>
      </c>
      <c r="D309" s="80"/>
      <c r="E309" s="80"/>
      <c r="F309" s="81"/>
      <c r="G309" s="81"/>
    </row>
    <row r="310" ht="15.75" spans="1:7">
      <c r="A310" s="257"/>
      <c r="B310" s="74"/>
      <c r="C310" s="79">
        <f t="shared" si="6"/>
        <v>0</v>
      </c>
      <c r="D310" s="80"/>
      <c r="E310" s="80"/>
      <c r="F310" s="81"/>
      <c r="G310" s="81"/>
    </row>
    <row r="311" ht="15.75" spans="1:7">
      <c r="A311" s="257"/>
      <c r="B311" s="74"/>
      <c r="C311" s="79">
        <f t="shared" si="6"/>
        <v>0</v>
      </c>
      <c r="D311" s="80"/>
      <c r="E311" s="80"/>
      <c r="F311" s="81"/>
      <c r="G311" s="81"/>
    </row>
    <row r="312" ht="15.75" spans="1:7">
      <c r="A312" s="257"/>
      <c r="B312" s="74"/>
      <c r="C312" s="79">
        <f t="shared" si="6"/>
        <v>0</v>
      </c>
      <c r="D312" s="80"/>
      <c r="E312" s="80"/>
      <c r="F312" s="81"/>
      <c r="G312" s="81"/>
    </row>
    <row r="313" ht="15.75" spans="1:7">
      <c r="A313" s="257"/>
      <c r="B313" s="74"/>
      <c r="C313" s="79">
        <f t="shared" si="6"/>
        <v>0</v>
      </c>
      <c r="D313" s="80"/>
      <c r="E313" s="80"/>
      <c r="F313" s="81"/>
      <c r="G313" s="81"/>
    </row>
    <row r="314" ht="15.75" spans="1:7">
      <c r="A314" s="257"/>
      <c r="B314" s="74"/>
      <c r="C314" s="79">
        <f t="shared" si="6"/>
        <v>0</v>
      </c>
      <c r="D314" s="80"/>
      <c r="E314" s="80"/>
      <c r="F314" s="81"/>
      <c r="G314" s="81"/>
    </row>
    <row r="315" ht="15.75" spans="1:7">
      <c r="A315" s="257"/>
      <c r="B315" s="74"/>
      <c r="C315" s="79">
        <f t="shared" si="6"/>
        <v>0</v>
      </c>
      <c r="D315" s="80"/>
      <c r="E315" s="80"/>
      <c r="F315" s="81"/>
      <c r="G315" s="81"/>
    </row>
    <row r="316" ht="15.75" spans="1:7">
      <c r="A316" s="257"/>
      <c r="B316" s="74"/>
      <c r="C316" s="79">
        <f t="shared" si="6"/>
        <v>0</v>
      </c>
      <c r="D316" s="80"/>
      <c r="E316" s="80"/>
      <c r="F316" s="81"/>
      <c r="G316" s="81"/>
    </row>
    <row r="317" ht="15.75" spans="1:7">
      <c r="A317" s="257"/>
      <c r="B317" s="74"/>
      <c r="C317" s="79">
        <f t="shared" si="6"/>
        <v>0</v>
      </c>
      <c r="D317" s="80"/>
      <c r="E317" s="80"/>
      <c r="F317" s="81"/>
      <c r="G317" s="81"/>
    </row>
    <row r="318" ht="15.75" spans="1:7">
      <c r="A318" s="257"/>
      <c r="B318" s="74"/>
      <c r="C318" s="79">
        <f t="shared" si="6"/>
        <v>0</v>
      </c>
      <c r="D318" s="80"/>
      <c r="E318" s="80"/>
      <c r="F318" s="81"/>
      <c r="G318" s="81"/>
    </row>
    <row r="319" ht="15.75" spans="1:7">
      <c r="A319" s="257"/>
      <c r="B319" s="257"/>
      <c r="C319" s="79">
        <f t="shared" si="6"/>
        <v>0</v>
      </c>
      <c r="D319" s="260"/>
      <c r="E319" s="72"/>
      <c r="F319" s="73"/>
      <c r="G319" s="84"/>
    </row>
    <row r="320" ht="15.75" spans="1:7">
      <c r="A320" s="257"/>
      <c r="B320" s="257"/>
      <c r="C320" s="79">
        <f t="shared" si="6"/>
        <v>0</v>
      </c>
      <c r="D320" s="116"/>
      <c r="E320" s="261"/>
      <c r="F320" s="262"/>
      <c r="G320" s="262"/>
    </row>
    <row r="321" ht="15.75" spans="1:7">
      <c r="A321" s="256"/>
      <c r="B321" s="257"/>
      <c r="D321" s="116"/>
      <c r="E321" s="263"/>
      <c r="F321" s="264"/>
      <c r="G321" s="265"/>
    </row>
    <row r="322" ht="15.75" spans="1:7">
      <c r="A322" s="256"/>
      <c r="B322" s="116"/>
      <c r="D322" s="72"/>
      <c r="E322" s="72"/>
      <c r="F322" s="73"/>
      <c r="G322" s="73"/>
    </row>
    <row r="323" ht="15.75" spans="1:7">
      <c r="A323" s="266"/>
      <c r="B323" s="116"/>
      <c r="D323" s="72"/>
      <c r="E323" s="72"/>
      <c r="F323" s="73"/>
      <c r="G323" s="73"/>
    </row>
    <row r="326" spans="1:2">
      <c r="A326" s="95"/>
      <c r="B326" s="95"/>
    </row>
    <row r="327" spans="1:2">
      <c r="A327" s="95"/>
      <c r="B327" s="96"/>
    </row>
    <row r="328" spans="1:2">
      <c r="A328" s="95"/>
      <c r="B328" s="96"/>
    </row>
    <row r="331" ht="15.75"/>
    <row r="332" customHeight="1" spans="1:7">
      <c r="A332" s="252"/>
      <c r="B332" s="268"/>
      <c r="C332" s="269"/>
      <c r="D332" s="270"/>
      <c r="E332" s="70"/>
      <c r="F332" s="70"/>
      <c r="G332" s="70"/>
    </row>
    <row r="333" ht="15.75" spans="1:7">
      <c r="A333" s="253"/>
      <c r="B333" s="254"/>
      <c r="D333" s="83"/>
      <c r="E333" s="83"/>
      <c r="F333" s="84"/>
      <c r="G333" s="84"/>
    </row>
    <row r="334" ht="15.75" spans="1:7">
      <c r="A334" s="254"/>
      <c r="B334" s="257"/>
      <c r="D334" s="271"/>
      <c r="E334" s="271"/>
      <c r="F334" s="271"/>
      <c r="G334" s="271"/>
    </row>
    <row r="335" ht="15.75" spans="1:7">
      <c r="A335" s="75"/>
      <c r="B335" s="76"/>
      <c r="D335" s="76"/>
      <c r="E335" s="76"/>
      <c r="F335" s="77"/>
      <c r="G335" s="77"/>
    </row>
    <row r="336" ht="15.75" spans="1:7">
      <c r="A336" s="257"/>
      <c r="B336" s="320"/>
      <c r="C336" s="131"/>
      <c r="D336" s="80"/>
      <c r="E336" s="80"/>
      <c r="F336" s="81"/>
      <c r="G336" s="81"/>
    </row>
    <row r="337" ht="15.75" spans="1:7">
      <c r="A337" s="257"/>
      <c r="B337" s="321"/>
      <c r="C337">
        <v>0</v>
      </c>
      <c r="D337" s="80"/>
      <c r="E337" s="80"/>
      <c r="F337" s="81"/>
      <c r="G337" s="81"/>
    </row>
    <row r="338" ht="15.75" spans="1:7">
      <c r="A338" s="257"/>
      <c r="B338" s="321"/>
      <c r="C338" s="79">
        <f>B337</f>
        <v>0</v>
      </c>
      <c r="D338" s="80"/>
      <c r="E338" s="80"/>
      <c r="F338" s="81"/>
      <c r="G338" s="81"/>
    </row>
    <row r="339" ht="15.75" spans="1:7">
      <c r="A339" s="257"/>
      <c r="B339" s="321"/>
      <c r="C339" s="79">
        <f t="shared" ref="C339:C387" si="7">B338</f>
        <v>0</v>
      </c>
      <c r="D339" s="80"/>
      <c r="E339" s="80"/>
      <c r="F339" s="81"/>
      <c r="G339" s="81"/>
    </row>
    <row r="340" ht="15.75" spans="1:7">
      <c r="A340" s="257"/>
      <c r="B340" s="321"/>
      <c r="C340" s="79">
        <f t="shared" si="7"/>
        <v>0</v>
      </c>
      <c r="D340" s="80"/>
      <c r="E340" s="80"/>
      <c r="F340" s="81"/>
      <c r="G340" s="81"/>
    </row>
    <row r="341" ht="15.75" spans="1:7">
      <c r="A341" s="257"/>
      <c r="B341" s="321"/>
      <c r="C341" s="79">
        <f t="shared" si="7"/>
        <v>0</v>
      </c>
      <c r="D341" s="80"/>
      <c r="E341" s="80"/>
      <c r="F341" s="81"/>
      <c r="G341" s="81"/>
    </row>
    <row r="342" ht="15.75" spans="1:7">
      <c r="A342" s="257"/>
      <c r="B342" s="321"/>
      <c r="C342" s="79">
        <f t="shared" si="7"/>
        <v>0</v>
      </c>
      <c r="D342" s="80"/>
      <c r="E342" s="80"/>
      <c r="F342" s="81"/>
      <c r="G342" s="81"/>
    </row>
    <row r="343" ht="15.75" spans="1:7">
      <c r="A343" s="257"/>
      <c r="B343" s="321"/>
      <c r="C343" s="79">
        <f t="shared" si="7"/>
        <v>0</v>
      </c>
      <c r="D343" s="80"/>
      <c r="E343" s="80"/>
      <c r="F343" s="81"/>
      <c r="G343" s="81"/>
    </row>
    <row r="344" ht="15.75" spans="1:7">
      <c r="A344" s="257"/>
      <c r="B344" s="321"/>
      <c r="C344" s="79">
        <f t="shared" si="7"/>
        <v>0</v>
      </c>
      <c r="D344" s="80"/>
      <c r="E344" s="80"/>
      <c r="F344" s="81"/>
      <c r="G344" s="81"/>
    </row>
    <row r="345" ht="15.75" spans="1:7">
      <c r="A345" s="257"/>
      <c r="B345" s="321"/>
      <c r="C345" s="79">
        <f t="shared" si="7"/>
        <v>0</v>
      </c>
      <c r="D345" s="80"/>
      <c r="E345" s="80"/>
      <c r="F345" s="81"/>
      <c r="G345" s="81"/>
    </row>
    <row r="346" ht="15.75" spans="1:7">
      <c r="A346" s="257"/>
      <c r="B346" s="321"/>
      <c r="C346" s="79">
        <f t="shared" si="7"/>
        <v>0</v>
      </c>
      <c r="D346" s="80"/>
      <c r="E346" s="80"/>
      <c r="F346" s="81"/>
      <c r="G346" s="81"/>
    </row>
    <row r="347" ht="15.75" spans="1:7">
      <c r="A347" s="257"/>
      <c r="B347" s="321"/>
      <c r="C347" s="79">
        <f t="shared" si="7"/>
        <v>0</v>
      </c>
      <c r="D347" s="80"/>
      <c r="E347" s="80"/>
      <c r="F347" s="81"/>
      <c r="G347" s="81"/>
    </row>
    <row r="348" ht="15.75" spans="1:7">
      <c r="A348" s="257"/>
      <c r="B348" s="321"/>
      <c r="C348" s="79">
        <f t="shared" si="7"/>
        <v>0</v>
      </c>
      <c r="D348" s="80"/>
      <c r="E348" s="80"/>
      <c r="F348" s="81"/>
      <c r="G348" s="81"/>
    </row>
    <row r="349" ht="15.75" spans="1:7">
      <c r="A349" s="257"/>
      <c r="B349" s="321"/>
      <c r="C349" s="79">
        <f t="shared" si="7"/>
        <v>0</v>
      </c>
      <c r="D349" s="80"/>
      <c r="E349" s="80"/>
      <c r="F349" s="81"/>
      <c r="G349" s="81"/>
    </row>
    <row r="350" ht="15.75" spans="1:7">
      <c r="A350" s="257"/>
      <c r="B350" s="321"/>
      <c r="C350" s="79">
        <f t="shared" si="7"/>
        <v>0</v>
      </c>
      <c r="D350" s="80"/>
      <c r="E350" s="80"/>
      <c r="F350" s="81"/>
      <c r="G350" s="81"/>
    </row>
    <row r="351" ht="15.75" spans="1:7">
      <c r="A351" s="257"/>
      <c r="B351" s="321"/>
      <c r="C351" s="79">
        <f t="shared" si="7"/>
        <v>0</v>
      </c>
      <c r="D351" s="80"/>
      <c r="E351" s="80"/>
      <c r="F351" s="81"/>
      <c r="G351" s="81"/>
    </row>
    <row r="352" ht="15.75" spans="1:7">
      <c r="A352" s="257"/>
      <c r="B352" s="321"/>
      <c r="C352" s="79">
        <f t="shared" si="7"/>
        <v>0</v>
      </c>
      <c r="D352" s="80"/>
      <c r="E352" s="80"/>
      <c r="F352" s="81"/>
      <c r="G352" s="81"/>
    </row>
    <row r="353" ht="15.75" spans="1:7">
      <c r="A353" s="257"/>
      <c r="B353" s="321"/>
      <c r="C353" s="79">
        <f t="shared" si="7"/>
        <v>0</v>
      </c>
      <c r="D353" s="80"/>
      <c r="E353" s="80"/>
      <c r="F353" s="81"/>
      <c r="G353" s="81"/>
    </row>
    <row r="354" ht="15.75" spans="1:7">
      <c r="A354" s="257"/>
      <c r="B354" s="321"/>
      <c r="C354" s="79">
        <f t="shared" si="7"/>
        <v>0</v>
      </c>
      <c r="D354" s="80"/>
      <c r="E354" s="80"/>
      <c r="F354" s="81"/>
      <c r="G354" s="81"/>
    </row>
    <row r="355" ht="15.75" spans="1:7">
      <c r="A355" s="257"/>
      <c r="B355" s="321"/>
      <c r="C355" s="79">
        <f t="shared" si="7"/>
        <v>0</v>
      </c>
      <c r="D355" s="80"/>
      <c r="E355" s="80"/>
      <c r="F355" s="81"/>
      <c r="G355" s="81"/>
    </row>
    <row r="356" ht="15.75" spans="1:7">
      <c r="A356" s="257"/>
      <c r="B356" s="321"/>
      <c r="C356" s="79">
        <f t="shared" si="7"/>
        <v>0</v>
      </c>
      <c r="D356" s="80"/>
      <c r="E356" s="80"/>
      <c r="F356" s="81"/>
      <c r="G356" s="81"/>
    </row>
    <row r="357" ht="15.75" spans="1:7">
      <c r="A357" s="257"/>
      <c r="B357" s="321"/>
      <c r="C357" s="79">
        <f t="shared" si="7"/>
        <v>0</v>
      </c>
      <c r="D357" s="80"/>
      <c r="E357" s="80"/>
      <c r="F357" s="81"/>
      <c r="G357" s="81"/>
    </row>
    <row r="358" ht="15.75" spans="1:7">
      <c r="A358" s="257"/>
      <c r="B358" s="321"/>
      <c r="C358" s="79">
        <f t="shared" si="7"/>
        <v>0</v>
      </c>
      <c r="D358" s="80"/>
      <c r="E358" s="80"/>
      <c r="F358" s="81"/>
      <c r="G358" s="81"/>
    </row>
    <row r="359" ht="15.75" spans="1:7">
      <c r="A359" s="257"/>
      <c r="B359" s="321"/>
      <c r="C359" s="79">
        <f t="shared" si="7"/>
        <v>0</v>
      </c>
      <c r="D359" s="80"/>
      <c r="E359" s="80"/>
      <c r="F359" s="81"/>
      <c r="G359" s="81"/>
    </row>
    <row r="360" ht="15.75" spans="1:7">
      <c r="A360" s="257"/>
      <c r="B360" s="321"/>
      <c r="C360" s="79">
        <f t="shared" si="7"/>
        <v>0</v>
      </c>
      <c r="D360" s="80"/>
      <c r="E360" s="80"/>
      <c r="F360" s="81"/>
      <c r="G360" s="81"/>
    </row>
    <row r="361" ht="15.75" spans="1:7">
      <c r="A361" s="257"/>
      <c r="B361" s="321"/>
      <c r="C361" s="79">
        <f t="shared" si="7"/>
        <v>0</v>
      </c>
      <c r="D361" s="80"/>
      <c r="E361" s="80"/>
      <c r="F361" s="81"/>
      <c r="G361" s="81"/>
    </row>
    <row r="362" ht="15.75" spans="1:7">
      <c r="A362" s="257"/>
      <c r="B362" s="321"/>
      <c r="C362" s="79">
        <f t="shared" si="7"/>
        <v>0</v>
      </c>
      <c r="D362" s="80"/>
      <c r="E362" s="80"/>
      <c r="F362" s="81"/>
      <c r="G362" s="81"/>
    </row>
    <row r="363" ht="15.75" spans="1:7">
      <c r="A363" s="257"/>
      <c r="B363" s="321"/>
      <c r="C363" s="79">
        <f t="shared" si="7"/>
        <v>0</v>
      </c>
      <c r="D363" s="80"/>
      <c r="E363" s="80"/>
      <c r="F363" s="81"/>
      <c r="G363" s="81"/>
    </row>
    <row r="364" ht="15.75" spans="1:7">
      <c r="A364" s="257"/>
      <c r="B364" s="321"/>
      <c r="C364" s="79">
        <f t="shared" si="7"/>
        <v>0</v>
      </c>
      <c r="D364" s="80"/>
      <c r="E364" s="80"/>
      <c r="F364" s="81"/>
      <c r="G364" s="81"/>
    </row>
    <row r="365" ht="15.75" spans="1:7">
      <c r="A365" s="257"/>
      <c r="B365" s="321"/>
      <c r="C365" s="79">
        <f t="shared" si="7"/>
        <v>0</v>
      </c>
      <c r="D365" s="80"/>
      <c r="E365" s="80"/>
      <c r="F365" s="81"/>
      <c r="G365" s="81"/>
    </row>
    <row r="366" ht="15.75" spans="1:7">
      <c r="A366" s="257"/>
      <c r="B366" s="321"/>
      <c r="C366" s="79">
        <f t="shared" si="7"/>
        <v>0</v>
      </c>
      <c r="D366" s="80"/>
      <c r="E366" s="80"/>
      <c r="F366" s="81"/>
      <c r="G366" s="81"/>
    </row>
    <row r="367" ht="15.75" spans="1:7">
      <c r="A367" s="257"/>
      <c r="B367" s="321"/>
      <c r="C367" s="79">
        <f t="shared" si="7"/>
        <v>0</v>
      </c>
      <c r="D367" s="80"/>
      <c r="E367" s="80"/>
      <c r="F367" s="81"/>
      <c r="G367" s="81"/>
    </row>
    <row r="368" ht="15.75" spans="1:7">
      <c r="A368" s="257"/>
      <c r="B368" s="321"/>
      <c r="C368" s="79">
        <f t="shared" si="7"/>
        <v>0</v>
      </c>
      <c r="D368" s="80"/>
      <c r="E368" s="80"/>
      <c r="F368" s="81"/>
      <c r="G368" s="81"/>
    </row>
    <row r="369" ht="15.75" spans="1:7">
      <c r="A369" s="257"/>
      <c r="B369" s="321"/>
      <c r="C369" s="79">
        <f t="shared" si="7"/>
        <v>0</v>
      </c>
      <c r="D369" s="80"/>
      <c r="E369" s="80"/>
      <c r="F369" s="81"/>
      <c r="G369" s="81"/>
    </row>
    <row r="370" ht="15.75" spans="1:7">
      <c r="A370" s="257"/>
      <c r="B370" s="321"/>
      <c r="C370" s="79">
        <f t="shared" si="7"/>
        <v>0</v>
      </c>
      <c r="D370" s="80"/>
      <c r="E370" s="80"/>
      <c r="F370" s="81"/>
      <c r="G370" s="81"/>
    </row>
    <row r="371" ht="15.75" spans="1:7">
      <c r="A371" s="257"/>
      <c r="B371" s="321"/>
      <c r="C371" s="79">
        <f t="shared" si="7"/>
        <v>0</v>
      </c>
      <c r="D371" s="80"/>
      <c r="E371" s="80"/>
      <c r="F371" s="81"/>
      <c r="G371" s="81"/>
    </row>
    <row r="372" ht="15.75" spans="1:7">
      <c r="A372" s="257"/>
      <c r="B372" s="321"/>
      <c r="C372" s="79">
        <f t="shared" si="7"/>
        <v>0</v>
      </c>
      <c r="D372" s="80"/>
      <c r="E372" s="80"/>
      <c r="F372" s="81"/>
      <c r="G372" s="81"/>
    </row>
    <row r="373" ht="15.75" spans="1:7">
      <c r="A373" s="257"/>
      <c r="B373" s="321"/>
      <c r="C373" s="79">
        <f t="shared" si="7"/>
        <v>0</v>
      </c>
      <c r="D373" s="80"/>
      <c r="E373" s="80"/>
      <c r="F373" s="81"/>
      <c r="G373" s="81"/>
    </row>
    <row r="374" ht="15.75" spans="1:7">
      <c r="A374" s="257"/>
      <c r="B374" s="321"/>
      <c r="C374" s="79">
        <f t="shared" si="7"/>
        <v>0</v>
      </c>
      <c r="D374" s="80"/>
      <c r="E374" s="80"/>
      <c r="F374" s="81"/>
      <c r="G374" s="81"/>
    </row>
    <row r="375" ht="15.75" spans="1:7">
      <c r="A375" s="257"/>
      <c r="B375" s="321"/>
      <c r="C375" s="79">
        <f t="shared" si="7"/>
        <v>0</v>
      </c>
      <c r="D375" s="80"/>
      <c r="E375" s="80"/>
      <c r="F375" s="81"/>
      <c r="G375" s="81"/>
    </row>
    <row r="376" ht="15.75" spans="1:7">
      <c r="A376" s="257"/>
      <c r="B376" s="321"/>
      <c r="C376" s="79">
        <f t="shared" si="7"/>
        <v>0</v>
      </c>
      <c r="D376" s="80"/>
      <c r="E376" s="80"/>
      <c r="F376" s="81"/>
      <c r="G376" s="81"/>
    </row>
    <row r="377" ht="15.75" spans="1:7">
      <c r="A377" s="257"/>
      <c r="B377" s="321"/>
      <c r="C377" s="79">
        <f t="shared" si="7"/>
        <v>0</v>
      </c>
      <c r="D377" s="80"/>
      <c r="E377" s="80"/>
      <c r="F377" s="81"/>
      <c r="G377" s="81"/>
    </row>
    <row r="378" ht="15.75" spans="1:7">
      <c r="A378" s="257"/>
      <c r="B378" s="321"/>
      <c r="C378" s="79">
        <f t="shared" si="7"/>
        <v>0</v>
      </c>
      <c r="D378" s="80"/>
      <c r="E378" s="80"/>
      <c r="F378" s="81"/>
      <c r="G378" s="81"/>
    </row>
    <row r="379" ht="15.75" spans="1:7">
      <c r="A379" s="257"/>
      <c r="B379" s="321"/>
      <c r="C379" s="79">
        <f t="shared" si="7"/>
        <v>0</v>
      </c>
      <c r="D379" s="80"/>
      <c r="E379" s="80"/>
      <c r="F379" s="81"/>
      <c r="G379" s="81"/>
    </row>
    <row r="380" ht="15.75" spans="1:7">
      <c r="A380" s="257"/>
      <c r="B380" s="321"/>
      <c r="C380" s="79">
        <f t="shared" si="7"/>
        <v>0</v>
      </c>
      <c r="D380" s="80"/>
      <c r="E380" s="80"/>
      <c r="F380" s="81"/>
      <c r="G380" s="81"/>
    </row>
    <row r="381" ht="15.75" spans="1:7">
      <c r="A381" s="257"/>
      <c r="B381" s="321"/>
      <c r="C381" s="79">
        <f t="shared" si="7"/>
        <v>0</v>
      </c>
      <c r="D381" s="80"/>
      <c r="E381" s="80"/>
      <c r="F381" s="81"/>
      <c r="G381" s="81"/>
    </row>
    <row r="382" ht="15.75" spans="1:7">
      <c r="A382" s="257"/>
      <c r="B382" s="321"/>
      <c r="C382" s="79">
        <f t="shared" si="7"/>
        <v>0</v>
      </c>
      <c r="D382" s="80"/>
      <c r="E382" s="80"/>
      <c r="F382" s="81"/>
      <c r="G382" s="81"/>
    </row>
    <row r="383" ht="15.75" spans="1:7">
      <c r="A383" s="257"/>
      <c r="B383" s="321"/>
      <c r="C383" s="79">
        <f t="shared" si="7"/>
        <v>0</v>
      </c>
      <c r="D383" s="80"/>
      <c r="E383" s="80"/>
      <c r="F383" s="81"/>
      <c r="G383" s="81"/>
    </row>
    <row r="384" ht="15.75" spans="1:7">
      <c r="A384" s="257"/>
      <c r="B384" s="321"/>
      <c r="C384" s="79">
        <f t="shared" si="7"/>
        <v>0</v>
      </c>
      <c r="D384" s="80"/>
      <c r="E384" s="80"/>
      <c r="F384" s="81"/>
      <c r="G384" s="81"/>
    </row>
    <row r="385" ht="15.75" spans="1:7">
      <c r="A385" s="257"/>
      <c r="B385" s="322"/>
      <c r="C385" s="79">
        <f t="shared" si="7"/>
        <v>0</v>
      </c>
      <c r="D385" s="80"/>
      <c r="E385" s="80"/>
      <c r="F385" s="81"/>
      <c r="G385" s="81"/>
    </row>
    <row r="386" ht="15.75" spans="1:7">
      <c r="A386" s="257"/>
      <c r="B386" s="257"/>
      <c r="C386" s="79">
        <f t="shared" si="7"/>
        <v>0</v>
      </c>
      <c r="D386" s="260"/>
      <c r="E386" s="72"/>
      <c r="F386" s="73"/>
      <c r="G386" s="84"/>
    </row>
    <row r="387" ht="15.75" spans="1:7">
      <c r="A387" s="257"/>
      <c r="B387" s="257"/>
      <c r="C387" s="79">
        <f t="shared" si="7"/>
        <v>0</v>
      </c>
      <c r="D387" s="116"/>
      <c r="E387" s="261"/>
      <c r="F387" s="262"/>
      <c r="G387" s="262"/>
    </row>
    <row r="388" ht="15.75" spans="1:7">
      <c r="A388" s="256"/>
      <c r="B388" s="257"/>
      <c r="D388" s="116"/>
      <c r="E388" s="263"/>
      <c r="F388" s="264"/>
      <c r="G388" s="265"/>
    </row>
    <row r="389" ht="15.75" spans="1:7">
      <c r="A389" s="256"/>
      <c r="B389" s="116"/>
      <c r="D389" s="72"/>
      <c r="E389" s="72"/>
      <c r="F389" s="73"/>
      <c r="G389" s="73"/>
    </row>
    <row r="390" ht="15.75" spans="1:7">
      <c r="A390" s="266"/>
      <c r="B390" s="116"/>
      <c r="D390" s="72"/>
      <c r="E390" s="72"/>
      <c r="F390" s="73"/>
      <c r="G390" s="73"/>
    </row>
    <row r="393" spans="1:2">
      <c r="A393" s="531" t="s">
        <v>226</v>
      </c>
      <c r="B393" s="95" t="e">
        <f>AVERAGE(B341:B380)</f>
        <v>#DIV/0!</v>
      </c>
    </row>
    <row r="394" spans="1:2">
      <c r="A394" s="531" t="s">
        <v>227</v>
      </c>
      <c r="B394" s="96" t="e">
        <f>AVERAGE(B346:B375)</f>
        <v>#DIV/0!</v>
      </c>
    </row>
    <row r="395" spans="1:2">
      <c r="A395" s="531" t="s">
        <v>228</v>
      </c>
      <c r="B395" s="96" t="e">
        <f>AVERAGE(B352:B370)</f>
        <v>#DIV/0!</v>
      </c>
    </row>
    <row r="402" spans="3:3">
      <c r="C402">
        <v>0</v>
      </c>
    </row>
    <row r="403" spans="3:3">
      <c r="C403" s="79">
        <f>B402</f>
        <v>0</v>
      </c>
    </row>
    <row r="404" spans="3:3">
      <c r="C404" s="79">
        <f t="shared" ref="C404:C452" si="8">B403</f>
        <v>0</v>
      </c>
    </row>
    <row r="405" spans="3:3">
      <c r="C405" s="79">
        <f t="shared" si="8"/>
        <v>0</v>
      </c>
    </row>
    <row r="406" spans="3:3">
      <c r="C406" s="79">
        <f t="shared" si="8"/>
        <v>0</v>
      </c>
    </row>
    <row r="407" spans="3:3">
      <c r="C407" s="79">
        <f t="shared" si="8"/>
        <v>0</v>
      </c>
    </row>
    <row r="408" spans="3:3">
      <c r="C408" s="79">
        <f t="shared" si="8"/>
        <v>0</v>
      </c>
    </row>
    <row r="409" spans="3:3">
      <c r="C409" s="79">
        <f t="shared" si="8"/>
        <v>0</v>
      </c>
    </row>
    <row r="410" spans="3:3">
      <c r="C410" s="79">
        <f t="shared" si="8"/>
        <v>0</v>
      </c>
    </row>
    <row r="411" spans="3:3">
      <c r="C411" s="79">
        <f t="shared" si="8"/>
        <v>0</v>
      </c>
    </row>
    <row r="412" spans="3:3">
      <c r="C412" s="79">
        <f t="shared" si="8"/>
        <v>0</v>
      </c>
    </row>
    <row r="413" spans="3:3">
      <c r="C413" s="79">
        <f t="shared" si="8"/>
        <v>0</v>
      </c>
    </row>
    <row r="414" spans="3:3">
      <c r="C414" s="79">
        <f t="shared" si="8"/>
        <v>0</v>
      </c>
    </row>
    <row r="415" spans="3:3">
      <c r="C415" s="79">
        <f t="shared" si="8"/>
        <v>0</v>
      </c>
    </row>
    <row r="416" spans="3:3">
      <c r="C416" s="79">
        <f t="shared" si="8"/>
        <v>0</v>
      </c>
    </row>
    <row r="417" spans="3:3">
      <c r="C417" s="79">
        <f t="shared" si="8"/>
        <v>0</v>
      </c>
    </row>
    <row r="418" spans="3:3">
      <c r="C418" s="79">
        <f t="shared" si="8"/>
        <v>0</v>
      </c>
    </row>
    <row r="419" spans="3:3">
      <c r="C419" s="79">
        <f t="shared" si="8"/>
        <v>0</v>
      </c>
    </row>
    <row r="420" spans="3:3">
      <c r="C420" s="79">
        <f t="shared" si="8"/>
        <v>0</v>
      </c>
    </row>
    <row r="421" spans="3:3">
      <c r="C421" s="79">
        <f t="shared" si="8"/>
        <v>0</v>
      </c>
    </row>
    <row r="422" spans="3:3">
      <c r="C422" s="79">
        <f t="shared" si="8"/>
        <v>0</v>
      </c>
    </row>
    <row r="423" spans="3:3">
      <c r="C423" s="79">
        <f t="shared" si="8"/>
        <v>0</v>
      </c>
    </row>
    <row r="424" spans="3:3">
      <c r="C424" s="79">
        <f t="shared" si="8"/>
        <v>0</v>
      </c>
    </row>
    <row r="425" spans="3:3">
      <c r="C425" s="79">
        <f t="shared" si="8"/>
        <v>0</v>
      </c>
    </row>
    <row r="426" spans="3:3">
      <c r="C426" s="79">
        <f t="shared" si="8"/>
        <v>0</v>
      </c>
    </row>
    <row r="427" spans="3:3">
      <c r="C427" s="79">
        <f t="shared" si="8"/>
        <v>0</v>
      </c>
    </row>
    <row r="428" spans="3:3">
      <c r="C428" s="79">
        <f t="shared" si="8"/>
        <v>0</v>
      </c>
    </row>
    <row r="429" spans="3:3">
      <c r="C429" s="79">
        <f t="shared" si="8"/>
        <v>0</v>
      </c>
    </row>
    <row r="430" spans="3:3">
      <c r="C430" s="79">
        <f t="shared" si="8"/>
        <v>0</v>
      </c>
    </row>
    <row r="431" spans="3:3">
      <c r="C431" s="79">
        <f t="shared" si="8"/>
        <v>0</v>
      </c>
    </row>
    <row r="432" spans="3:3">
      <c r="C432" s="79">
        <f t="shared" si="8"/>
        <v>0</v>
      </c>
    </row>
    <row r="433" spans="3:3">
      <c r="C433" s="79">
        <f t="shared" si="8"/>
        <v>0</v>
      </c>
    </row>
    <row r="434" spans="3:3">
      <c r="C434" s="79">
        <f t="shared" si="8"/>
        <v>0</v>
      </c>
    </row>
    <row r="435" spans="3:3">
      <c r="C435" s="79">
        <f t="shared" si="8"/>
        <v>0</v>
      </c>
    </row>
    <row r="436" spans="3:3">
      <c r="C436" s="79">
        <f t="shared" si="8"/>
        <v>0</v>
      </c>
    </row>
    <row r="437" spans="3:3">
      <c r="C437" s="79">
        <f t="shared" si="8"/>
        <v>0</v>
      </c>
    </row>
    <row r="438" spans="3:3">
      <c r="C438" s="79">
        <f t="shared" si="8"/>
        <v>0</v>
      </c>
    </row>
    <row r="439" spans="3:3">
      <c r="C439" s="79">
        <f t="shared" si="8"/>
        <v>0</v>
      </c>
    </row>
    <row r="440" spans="3:3">
      <c r="C440" s="79">
        <f t="shared" si="8"/>
        <v>0</v>
      </c>
    </row>
    <row r="441" spans="3:3">
      <c r="C441" s="79">
        <f t="shared" si="8"/>
        <v>0</v>
      </c>
    </row>
    <row r="442" spans="3:3">
      <c r="C442" s="79">
        <f t="shared" si="8"/>
        <v>0</v>
      </c>
    </row>
    <row r="443" spans="3:3">
      <c r="C443" s="79">
        <f t="shared" si="8"/>
        <v>0</v>
      </c>
    </row>
    <row r="444" spans="3:3">
      <c r="C444" s="79">
        <f t="shared" si="8"/>
        <v>0</v>
      </c>
    </row>
    <row r="445" spans="3:3">
      <c r="C445" s="79">
        <f t="shared" si="8"/>
        <v>0</v>
      </c>
    </row>
    <row r="446" spans="3:3">
      <c r="C446" s="79">
        <f t="shared" si="8"/>
        <v>0</v>
      </c>
    </row>
    <row r="447" spans="3:3">
      <c r="C447" s="79">
        <f t="shared" si="8"/>
        <v>0</v>
      </c>
    </row>
    <row r="448" spans="3:3">
      <c r="C448" s="79">
        <f t="shared" si="8"/>
        <v>0</v>
      </c>
    </row>
    <row r="449" spans="3:3">
      <c r="C449" s="79">
        <f t="shared" si="8"/>
        <v>0</v>
      </c>
    </row>
    <row r="450" spans="3:3">
      <c r="C450" s="79">
        <f t="shared" si="8"/>
        <v>0</v>
      </c>
    </row>
    <row r="451" spans="3:3">
      <c r="C451" s="79">
        <f t="shared" si="8"/>
        <v>0</v>
      </c>
    </row>
    <row r="452" spans="3:3">
      <c r="C452" s="79">
        <f t="shared" si="8"/>
        <v>0</v>
      </c>
    </row>
  </sheetData>
  <mergeCells count="12">
    <mergeCell ref="B2:D2"/>
    <mergeCell ref="B69:D69"/>
    <mergeCell ref="B134:D134"/>
    <mergeCell ref="B200:D200"/>
    <mergeCell ref="B265:D265"/>
    <mergeCell ref="B332:D332"/>
    <mergeCell ref="A2:A4"/>
    <mergeCell ref="A69:A71"/>
    <mergeCell ref="A134:A136"/>
    <mergeCell ref="A200:A202"/>
    <mergeCell ref="A265:A267"/>
    <mergeCell ref="A332:A334"/>
  </mergeCells>
  <pageMargins left="0.7" right="0.7" top="0.75" bottom="0.75" header="0.3" footer="0.3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Лист7">
    <tabColor rgb="FF92D050"/>
  </sheetPr>
  <dimension ref="A1:G464"/>
  <sheetViews>
    <sheetView zoomScale="80" zoomScaleNormal="80" topLeftCell="A214" workbookViewId="0">
      <selection activeCell="E80" sqref="E80:H81"/>
    </sheetView>
  </sheetViews>
  <sheetFormatPr defaultColWidth="8.72380952380952" defaultRowHeight="15" outlineLevelCol="6"/>
  <cols>
    <col min="3" max="3" width="9.18095238095238"/>
    <col min="5" max="5" width="9.45714285714286" customWidth="1"/>
    <col min="6" max="6" width="8.72380952380952" style="64" customWidth="1"/>
    <col min="7" max="7" width="9.45714285714286" style="64" customWidth="1"/>
  </cols>
  <sheetData>
    <row r="1" spans="4:5">
      <c r="D1" s="65">
        <v>0.1</v>
      </c>
      <c r="E1" s="65">
        <v>0.4</v>
      </c>
    </row>
    <row r="2" ht="23.25" customHeight="1" spans="1:7">
      <c r="A2" s="83" t="s">
        <v>165</v>
      </c>
      <c r="B2" s="311" t="s">
        <v>166</v>
      </c>
      <c r="C2" s="311"/>
      <c r="D2" s="311"/>
      <c r="E2" s="86">
        <f>(1-E57)^(1/3)-1</f>
        <v>-0.0288759778387668</v>
      </c>
      <c r="F2" s="86">
        <f>(1-F57)^(1/3)-1</f>
        <v>-0.0312248378628897</v>
      </c>
      <c r="G2" s="86"/>
    </row>
    <row r="3" ht="72.75" spans="1:7">
      <c r="A3" s="83"/>
      <c r="B3" s="83" t="s">
        <v>167</v>
      </c>
      <c r="C3" s="72"/>
      <c r="D3" s="83" t="s">
        <v>168</v>
      </c>
      <c r="E3" s="83" t="s">
        <v>169</v>
      </c>
      <c r="F3" s="84" t="s">
        <v>169</v>
      </c>
      <c r="G3" s="84"/>
    </row>
    <row r="4" ht="16.5" customHeight="1" spans="1:7">
      <c r="A4" s="83"/>
      <c r="B4" s="83" t="s">
        <v>170</v>
      </c>
      <c r="C4" s="72"/>
      <c r="D4" s="83" t="s">
        <v>171</v>
      </c>
      <c r="E4" s="83" t="s">
        <v>171</v>
      </c>
      <c r="F4" s="84" t="s">
        <v>171</v>
      </c>
      <c r="G4" s="84"/>
    </row>
    <row r="5" spans="1:7">
      <c r="A5" s="108">
        <v>1</v>
      </c>
      <c r="B5" s="109">
        <v>2</v>
      </c>
      <c r="C5" s="76"/>
      <c r="D5" s="109">
        <v>3</v>
      </c>
      <c r="E5" s="109">
        <v>4</v>
      </c>
      <c r="F5" s="110">
        <v>5</v>
      </c>
      <c r="G5" s="110"/>
    </row>
    <row r="6" spans="1:7">
      <c r="A6" s="530" t="s">
        <v>172</v>
      </c>
      <c r="B6" s="137">
        <v>0.1</v>
      </c>
      <c r="C6" s="79">
        <v>0</v>
      </c>
      <c r="D6" s="80">
        <v>0</v>
      </c>
      <c r="E6" s="80">
        <v>0</v>
      </c>
      <c r="F6" s="81">
        <v>0</v>
      </c>
      <c r="G6" s="81">
        <v>0</v>
      </c>
    </row>
    <row r="7" spans="1:7">
      <c r="A7" s="530" t="s">
        <v>173</v>
      </c>
      <c r="B7" s="79">
        <v>0.7</v>
      </c>
      <c r="C7" s="79">
        <f>B6</f>
        <v>0.1</v>
      </c>
      <c r="D7" s="80">
        <v>0</v>
      </c>
      <c r="E7" s="80">
        <v>0</v>
      </c>
      <c r="F7" s="81">
        <v>0</v>
      </c>
      <c r="G7" s="81">
        <v>0</v>
      </c>
    </row>
    <row r="8" spans="1:7">
      <c r="A8" s="530" t="s">
        <v>174</v>
      </c>
      <c r="B8" s="137">
        <v>3.2</v>
      </c>
      <c r="C8" s="79">
        <f t="shared" ref="C8:C56" si="0">B7</f>
        <v>0.7</v>
      </c>
      <c r="D8" s="80">
        <v>0</v>
      </c>
      <c r="E8" s="80">
        <v>0</v>
      </c>
      <c r="F8" s="81">
        <v>0</v>
      </c>
      <c r="G8" s="81">
        <v>0</v>
      </c>
    </row>
    <row r="9" spans="1:7">
      <c r="A9" s="530" t="s">
        <v>175</v>
      </c>
      <c r="B9" s="137">
        <v>5.3</v>
      </c>
      <c r="C9" s="79">
        <f t="shared" si="0"/>
        <v>3.2</v>
      </c>
      <c r="D9" s="80">
        <v>0</v>
      </c>
      <c r="E9" s="80">
        <v>0</v>
      </c>
      <c r="F9" s="81">
        <v>0</v>
      </c>
      <c r="G9" s="81">
        <v>0</v>
      </c>
    </row>
    <row r="10" spans="1:7">
      <c r="A10" s="530" t="s">
        <v>176</v>
      </c>
      <c r="B10" s="137">
        <v>8.8</v>
      </c>
      <c r="C10" s="79">
        <f t="shared" si="0"/>
        <v>5.3</v>
      </c>
      <c r="D10" s="80">
        <v>0</v>
      </c>
      <c r="E10" s="80">
        <v>0</v>
      </c>
      <c r="F10" s="81">
        <v>0</v>
      </c>
      <c r="G10" s="81">
        <v>0</v>
      </c>
    </row>
    <row r="11" spans="1:7">
      <c r="A11" s="530" t="s">
        <v>177</v>
      </c>
      <c r="B11" s="79">
        <v>11.4</v>
      </c>
      <c r="C11" s="79">
        <f t="shared" si="0"/>
        <v>8.8</v>
      </c>
      <c r="D11" s="80">
        <v>0</v>
      </c>
      <c r="E11" s="80">
        <v>0</v>
      </c>
      <c r="F11" s="81">
        <v>0</v>
      </c>
      <c r="G11" s="81">
        <v>0</v>
      </c>
    </row>
    <row r="12" spans="1:7">
      <c r="A12" s="530" t="s">
        <v>178</v>
      </c>
      <c r="B12" s="137">
        <v>12.8</v>
      </c>
      <c r="C12" s="79">
        <f t="shared" si="0"/>
        <v>11.4</v>
      </c>
      <c r="D12" s="80">
        <v>0</v>
      </c>
      <c r="E12" s="80">
        <v>0</v>
      </c>
      <c r="F12" s="81">
        <v>0</v>
      </c>
      <c r="G12" s="81">
        <v>0.00625000000000001</v>
      </c>
    </row>
    <row r="13" spans="1:7">
      <c r="A13" s="78" t="s">
        <v>179</v>
      </c>
      <c r="B13" s="137">
        <v>14.8</v>
      </c>
      <c r="C13" s="79">
        <f t="shared" si="0"/>
        <v>12.8</v>
      </c>
      <c r="D13" s="80">
        <v>0</v>
      </c>
      <c r="E13" s="80">
        <v>0</v>
      </c>
      <c r="F13" s="81">
        <v>0</v>
      </c>
      <c r="G13" s="81">
        <v>0.0189189189189189</v>
      </c>
    </row>
    <row r="14" spans="1:7">
      <c r="A14" s="78" t="s">
        <v>180</v>
      </c>
      <c r="B14" s="79">
        <v>18.2</v>
      </c>
      <c r="C14" s="79">
        <f t="shared" si="0"/>
        <v>14.8</v>
      </c>
      <c r="D14" s="80">
        <v>0</v>
      </c>
      <c r="E14" s="80">
        <v>0</v>
      </c>
      <c r="F14" s="81">
        <v>0</v>
      </c>
      <c r="G14" s="81">
        <v>0.0340659340659341</v>
      </c>
    </row>
    <row r="15" spans="1:7">
      <c r="A15" s="78" t="s">
        <v>181</v>
      </c>
      <c r="B15" s="137">
        <v>19.3</v>
      </c>
      <c r="C15" s="79">
        <f t="shared" si="0"/>
        <v>18.2</v>
      </c>
      <c r="D15" s="80">
        <v>0</v>
      </c>
      <c r="E15" s="80">
        <v>0</v>
      </c>
      <c r="F15" s="81">
        <v>0</v>
      </c>
      <c r="G15" s="81">
        <v>0.0378238341968912</v>
      </c>
    </row>
    <row r="16" spans="1:7">
      <c r="A16" s="78" t="s">
        <v>182</v>
      </c>
      <c r="B16" s="137">
        <v>20.5</v>
      </c>
      <c r="C16" s="79">
        <f t="shared" si="0"/>
        <v>19.3</v>
      </c>
      <c r="D16" s="80">
        <v>0</v>
      </c>
      <c r="E16" s="80">
        <v>0</v>
      </c>
      <c r="F16" s="81">
        <v>0</v>
      </c>
      <c r="G16" s="81">
        <v>0.0487804878048781</v>
      </c>
    </row>
    <row r="17" spans="1:7">
      <c r="A17" s="78" t="s">
        <v>183</v>
      </c>
      <c r="B17" s="137">
        <v>21.6</v>
      </c>
      <c r="C17" s="79">
        <f t="shared" si="0"/>
        <v>20.5</v>
      </c>
      <c r="D17" s="80">
        <v>0</v>
      </c>
      <c r="E17" s="80">
        <v>0</v>
      </c>
      <c r="F17" s="81">
        <v>0</v>
      </c>
      <c r="G17" s="81">
        <v>0.0666666666666667</v>
      </c>
    </row>
    <row r="18" spans="1:7">
      <c r="A18" s="78" t="s">
        <v>184</v>
      </c>
      <c r="B18" s="137">
        <v>23.2</v>
      </c>
      <c r="C18" s="79">
        <f t="shared" si="0"/>
        <v>21.6</v>
      </c>
      <c r="D18" s="80">
        <v>0</v>
      </c>
      <c r="E18" s="80">
        <v>0</v>
      </c>
      <c r="F18" s="81">
        <v>0</v>
      </c>
      <c r="G18" s="81">
        <v>0.0896551724137931</v>
      </c>
    </row>
    <row r="19" spans="1:7">
      <c r="A19" s="78" t="s">
        <v>185</v>
      </c>
      <c r="B19" s="137">
        <v>23.9</v>
      </c>
      <c r="C19" s="79">
        <f t="shared" si="0"/>
        <v>23.2</v>
      </c>
      <c r="D19" s="80">
        <v>0</v>
      </c>
      <c r="E19" s="80">
        <v>0</v>
      </c>
      <c r="F19" s="81">
        <v>0</v>
      </c>
      <c r="G19" s="81">
        <v>0.098744769874477</v>
      </c>
    </row>
    <row r="20" spans="1:7">
      <c r="A20" s="78" t="s">
        <v>186</v>
      </c>
      <c r="B20" s="79">
        <v>24.7</v>
      </c>
      <c r="C20" s="79">
        <f t="shared" si="0"/>
        <v>23.9</v>
      </c>
      <c r="D20" s="80">
        <v>0</v>
      </c>
      <c r="E20" s="80">
        <v>0</v>
      </c>
      <c r="F20" s="81">
        <v>0</v>
      </c>
      <c r="G20" s="81">
        <v>0.108502024291498</v>
      </c>
    </row>
    <row r="21" spans="1:7">
      <c r="A21" s="78" t="s">
        <v>187</v>
      </c>
      <c r="B21" s="137">
        <v>25.6</v>
      </c>
      <c r="C21" s="79">
        <f t="shared" si="0"/>
        <v>24.7</v>
      </c>
      <c r="D21" s="80">
        <v>0</v>
      </c>
      <c r="E21" s="80">
        <v>0</v>
      </c>
      <c r="F21" s="81">
        <v>0.00310156249999999</v>
      </c>
      <c r="G21" s="81">
        <v>0.11875</v>
      </c>
    </row>
    <row r="22" spans="1:7">
      <c r="A22" s="78" t="s">
        <v>188</v>
      </c>
      <c r="B22" s="137">
        <v>26.2</v>
      </c>
      <c r="C22" s="79">
        <f t="shared" si="0"/>
        <v>25.6</v>
      </c>
      <c r="D22" s="80">
        <v>0</v>
      </c>
      <c r="E22" s="80">
        <v>0</v>
      </c>
      <c r="F22" s="81">
        <v>0.00532061068702288</v>
      </c>
      <c r="G22" s="81">
        <v>0.125190839694656</v>
      </c>
    </row>
    <row r="23" spans="1:7">
      <c r="A23" s="78" t="s">
        <v>189</v>
      </c>
      <c r="B23" s="79">
        <v>27.3</v>
      </c>
      <c r="C23" s="79">
        <f t="shared" si="0"/>
        <v>26.2</v>
      </c>
      <c r="D23" s="80">
        <v>0.0392307692307694</v>
      </c>
      <c r="E23" s="80"/>
      <c r="F23" s="81"/>
      <c r="G23" s="81"/>
    </row>
    <row r="24" spans="1:7">
      <c r="A24" s="78" t="s">
        <v>190</v>
      </c>
      <c r="B24" s="137">
        <v>28.3</v>
      </c>
      <c r="C24" s="79">
        <f t="shared" si="0"/>
        <v>27.3</v>
      </c>
      <c r="D24" s="80">
        <v>0.0731802120141345</v>
      </c>
      <c r="E24" s="80"/>
      <c r="F24" s="81"/>
      <c r="G24" s="81"/>
    </row>
    <row r="25" spans="1:7">
      <c r="A25" s="78" t="s">
        <v>191</v>
      </c>
      <c r="B25" s="137">
        <v>29.3</v>
      </c>
      <c r="C25" s="79">
        <f t="shared" si="0"/>
        <v>28.3</v>
      </c>
      <c r="D25" s="80">
        <v>0.10481228668942</v>
      </c>
      <c r="E25" s="80">
        <v>0.010481228668942</v>
      </c>
      <c r="F25" s="81">
        <v>0.0153378839590444</v>
      </c>
      <c r="G25" s="81">
        <v>0.154266211604096</v>
      </c>
    </row>
    <row r="26" spans="1:7">
      <c r="A26" s="78" t="s">
        <v>192</v>
      </c>
      <c r="B26" s="137">
        <v>30.9</v>
      </c>
      <c r="C26" s="79">
        <f t="shared" si="0"/>
        <v>29.3</v>
      </c>
      <c r="D26" s="80">
        <v>0.151165048543689</v>
      </c>
      <c r="E26" s="80">
        <v>0.0151165048543689</v>
      </c>
      <c r="F26" s="81">
        <v>0.0197216828478964</v>
      </c>
      <c r="G26" s="81">
        <v>0.166990291262136</v>
      </c>
    </row>
    <row r="27" spans="1:7">
      <c r="A27" s="78" t="s">
        <v>193</v>
      </c>
      <c r="B27" s="137">
        <v>31.8</v>
      </c>
      <c r="C27" s="79">
        <f t="shared" si="0"/>
        <v>30.9</v>
      </c>
      <c r="D27" s="80">
        <v>0.175188679245283</v>
      </c>
      <c r="E27" s="80">
        <v>0.0175188679245283</v>
      </c>
      <c r="F27" s="81">
        <v>0.0219937106918239</v>
      </c>
      <c r="G27" s="81">
        <v>0.173584905660377</v>
      </c>
    </row>
    <row r="28" spans="1:7">
      <c r="A28" s="78" t="s">
        <v>194</v>
      </c>
      <c r="B28" s="137">
        <v>32.7</v>
      </c>
      <c r="C28" s="79">
        <f t="shared" si="0"/>
        <v>31.8</v>
      </c>
      <c r="D28" s="80">
        <v>0.197889908256881</v>
      </c>
      <c r="E28" s="80">
        <v>0.0197889908256881</v>
      </c>
      <c r="F28" s="81">
        <v>0.0241406727828746</v>
      </c>
      <c r="G28" s="81">
        <v>0.179816513761468</v>
      </c>
    </row>
    <row r="29" spans="1:7">
      <c r="A29" s="78" t="s">
        <v>195</v>
      </c>
      <c r="B29" s="137">
        <v>34.6</v>
      </c>
      <c r="C29" s="79">
        <f t="shared" si="0"/>
        <v>32.7</v>
      </c>
      <c r="D29" s="80">
        <v>0.241936416184971</v>
      </c>
      <c r="E29" s="80">
        <v>0.0241936416184971</v>
      </c>
      <c r="F29" s="81">
        <v>0.0283063583815029</v>
      </c>
      <c r="G29" s="81">
        <v>0.191907514450867</v>
      </c>
    </row>
    <row r="30" spans="1:7">
      <c r="A30" s="78" t="s">
        <v>196</v>
      </c>
      <c r="B30" s="79">
        <v>36.8</v>
      </c>
      <c r="C30" s="79">
        <f t="shared" si="0"/>
        <v>34.6</v>
      </c>
      <c r="D30" s="80">
        <v>0.287255434782609</v>
      </c>
      <c r="E30" s="80">
        <v>0.0287255434782609</v>
      </c>
      <c r="F30" s="81">
        <v>0.0325923913043478</v>
      </c>
      <c r="G30" s="81">
        <v>0.204347826086957</v>
      </c>
    </row>
    <row r="31" spans="1:7">
      <c r="A31" s="78" t="s">
        <v>197</v>
      </c>
      <c r="B31" s="137">
        <v>38.5</v>
      </c>
      <c r="C31" s="79">
        <f t="shared" si="0"/>
        <v>36.8</v>
      </c>
      <c r="D31" s="80">
        <v>0.318727272727273</v>
      </c>
      <c r="E31" s="80">
        <v>0.0318727272727273</v>
      </c>
      <c r="F31" s="81">
        <v>0.0355688311688312</v>
      </c>
      <c r="G31" s="81">
        <v>0.212987012987013</v>
      </c>
    </row>
    <row r="32" spans="1:7">
      <c r="A32" s="78" t="s">
        <v>198</v>
      </c>
      <c r="B32" s="137">
        <v>41.1</v>
      </c>
      <c r="C32" s="79">
        <f t="shared" si="0"/>
        <v>38.5</v>
      </c>
      <c r="D32" s="80">
        <v>0.361824817518248</v>
      </c>
      <c r="E32" s="80">
        <v>0.0361824817518248</v>
      </c>
      <c r="F32" s="81">
        <v>0.0396447688564477</v>
      </c>
      <c r="G32" s="81">
        <v>0.224817518248175</v>
      </c>
    </row>
    <row r="33" spans="1:7">
      <c r="A33" s="78" t="s">
        <v>199</v>
      </c>
      <c r="B33" s="137">
        <v>43.4</v>
      </c>
      <c r="C33" s="79">
        <f t="shared" si="0"/>
        <v>41.1</v>
      </c>
      <c r="D33" s="80">
        <v>0.395645161290323</v>
      </c>
      <c r="E33" s="80">
        <v>0.0395645161290323</v>
      </c>
      <c r="F33" s="81">
        <v>0.0570599078341013</v>
      </c>
      <c r="G33" s="81">
        <v>0.234101382488479</v>
      </c>
    </row>
    <row r="34" spans="1:7">
      <c r="A34" s="78" t="s">
        <v>200</v>
      </c>
      <c r="B34" s="137">
        <v>45.3</v>
      </c>
      <c r="C34" s="79">
        <f t="shared" si="0"/>
        <v>43.4</v>
      </c>
      <c r="D34" s="80">
        <v>0.420993377483444</v>
      </c>
      <c r="E34" s="80">
        <v>0.0525960264900662</v>
      </c>
      <c r="F34" s="81">
        <v>0.0714437086092714</v>
      </c>
      <c r="G34" s="81">
        <v>0.241059602649007</v>
      </c>
    </row>
    <row r="35" spans="1:7">
      <c r="A35" s="78" t="s">
        <v>201</v>
      </c>
      <c r="B35" s="137">
        <v>47.4</v>
      </c>
      <c r="C35" s="79">
        <f t="shared" si="0"/>
        <v>45.3</v>
      </c>
      <c r="D35" s="80">
        <v>0.446645569620253</v>
      </c>
      <c r="E35" s="80">
        <v>0.0679873417721519</v>
      </c>
      <c r="F35" s="81">
        <v>0.0859999999999999</v>
      </c>
      <c r="G35" s="81">
        <v>0.248101265822785</v>
      </c>
    </row>
    <row r="36" spans="1:7">
      <c r="A36" s="78" t="s">
        <v>202</v>
      </c>
      <c r="B36" s="137">
        <v>49.5</v>
      </c>
      <c r="C36" s="79">
        <f t="shared" si="0"/>
        <v>47.4</v>
      </c>
      <c r="D36" s="80">
        <v>0.470121212121212</v>
      </c>
      <c r="E36" s="80">
        <v>0.0820727272727273</v>
      </c>
      <c r="F36" s="81">
        <v>0.0993212121212121</v>
      </c>
      <c r="G36" s="81">
        <v>0.254545454545455</v>
      </c>
    </row>
    <row r="37" spans="1:7">
      <c r="A37" s="78" t="s">
        <v>203</v>
      </c>
      <c r="B37" s="137">
        <v>51.1</v>
      </c>
      <c r="C37" s="79">
        <f t="shared" si="0"/>
        <v>49.5</v>
      </c>
      <c r="D37" s="80">
        <v>0.486712328767123</v>
      </c>
      <c r="E37" s="80">
        <v>0.092027397260274</v>
      </c>
      <c r="F37" s="81">
        <v>0.108735812133072</v>
      </c>
      <c r="G37" s="81">
        <v>0.259099804305284</v>
      </c>
    </row>
    <row r="38" spans="1:7">
      <c r="A38" s="78" t="s">
        <v>204</v>
      </c>
      <c r="B38" s="137">
        <v>52.6</v>
      </c>
      <c r="C38" s="79">
        <f t="shared" si="0"/>
        <v>51.1</v>
      </c>
      <c r="D38" s="80">
        <v>0.501349809885932</v>
      </c>
      <c r="E38" s="80">
        <v>0.100809885931559</v>
      </c>
      <c r="F38" s="81">
        <v>0.117041825095057</v>
      </c>
      <c r="G38" s="81">
        <v>0.263117870722433</v>
      </c>
    </row>
    <row r="39" spans="1:7">
      <c r="A39" s="78" t="s">
        <v>205</v>
      </c>
      <c r="B39" s="137">
        <v>54.6</v>
      </c>
      <c r="C39" s="79">
        <f t="shared" si="0"/>
        <v>52.6</v>
      </c>
      <c r="D39" s="80">
        <v>0.519615384615385</v>
      </c>
      <c r="E39" s="80">
        <v>0.111769230769231</v>
      </c>
      <c r="F39" s="81">
        <v>0.127406593406593</v>
      </c>
      <c r="G39" s="81">
        <v>0.268131868131868</v>
      </c>
    </row>
    <row r="40" spans="1:7">
      <c r="A40" s="78" t="s">
        <v>206</v>
      </c>
      <c r="B40" s="137">
        <v>56.1</v>
      </c>
      <c r="C40" s="79">
        <f t="shared" si="0"/>
        <v>54.6</v>
      </c>
      <c r="D40" s="80">
        <v>0.532459893048128</v>
      </c>
      <c r="E40" s="80">
        <v>0.119475935828877</v>
      </c>
      <c r="F40" s="81">
        <v>0.134695187165775</v>
      </c>
      <c r="G40" s="81">
        <v>0.271657754010695</v>
      </c>
    </row>
    <row r="41" spans="1:7">
      <c r="A41" s="78" t="s">
        <v>207</v>
      </c>
      <c r="B41" s="137">
        <v>59.5</v>
      </c>
      <c r="C41" s="79">
        <f t="shared" si="0"/>
        <v>56.1</v>
      </c>
      <c r="D41" s="80">
        <v>0.559176470588235</v>
      </c>
      <c r="E41" s="80">
        <v>0.135505882352941</v>
      </c>
      <c r="F41" s="81">
        <v>0.149855462184874</v>
      </c>
      <c r="G41" s="81">
        <v>0.278991596638655</v>
      </c>
    </row>
    <row r="42" spans="1:7">
      <c r="A42" s="78" t="s">
        <v>208</v>
      </c>
      <c r="B42" s="137">
        <v>64.5</v>
      </c>
      <c r="C42" s="79">
        <f t="shared" si="0"/>
        <v>59.5</v>
      </c>
      <c r="D42" s="80">
        <v>0.593348837209302</v>
      </c>
      <c r="E42" s="80">
        <v>0.156009302325581</v>
      </c>
      <c r="F42" s="81">
        <v>0.169246511627907</v>
      </c>
      <c r="G42" s="81">
        <v>0.288372093023256</v>
      </c>
    </row>
    <row r="43" spans="1:7">
      <c r="A43" s="78" t="s">
        <v>209</v>
      </c>
      <c r="B43" s="137">
        <v>69.4</v>
      </c>
      <c r="C43" s="79">
        <f t="shared" si="0"/>
        <v>64.5</v>
      </c>
      <c r="D43" s="80">
        <v>0.622060518731989</v>
      </c>
      <c r="E43" s="80">
        <v>0.173236311239193</v>
      </c>
      <c r="F43" s="81">
        <v>0.185538904899135</v>
      </c>
      <c r="G43" s="81">
        <v>0.296253602305476</v>
      </c>
    </row>
    <row r="44" spans="1:7">
      <c r="A44" s="78" t="s">
        <v>210</v>
      </c>
      <c r="B44" s="137">
        <v>72.7</v>
      </c>
      <c r="C44" s="79">
        <f t="shared" si="0"/>
        <v>69.4</v>
      </c>
      <c r="D44" s="80">
        <v>0.639215955983494</v>
      </c>
      <c r="E44" s="80">
        <v>0.183529573590096</v>
      </c>
      <c r="F44" s="81">
        <v>0.195273727647868</v>
      </c>
      <c r="G44" s="81">
        <v>0.300962861072902</v>
      </c>
    </row>
    <row r="45" spans="1:7">
      <c r="A45" s="78" t="s">
        <v>211</v>
      </c>
      <c r="B45" s="79">
        <v>77.2</v>
      </c>
      <c r="C45" s="79">
        <f t="shared" si="0"/>
        <v>72.7</v>
      </c>
      <c r="D45" s="80">
        <v>0.660246113989637</v>
      </c>
      <c r="E45" s="80">
        <v>0.196147668393782</v>
      </c>
      <c r="F45" s="81">
        <v>0.20720725388601</v>
      </c>
      <c r="G45" s="81">
        <v>0.306735751295337</v>
      </c>
    </row>
    <row r="46" spans="1:7">
      <c r="A46" s="78" t="s">
        <v>212</v>
      </c>
      <c r="B46" s="79">
        <v>79.8</v>
      </c>
      <c r="C46" s="79">
        <f t="shared" si="0"/>
        <v>77.2</v>
      </c>
      <c r="D46" s="80">
        <v>0.671315789473684</v>
      </c>
      <c r="E46" s="80">
        <v>0.202789473684211</v>
      </c>
      <c r="F46" s="81">
        <v>0.213488721804511</v>
      </c>
      <c r="G46" s="81">
        <v>0.309774436090226</v>
      </c>
    </row>
    <row r="47" spans="1:7">
      <c r="A47" s="78" t="s">
        <v>213</v>
      </c>
      <c r="B47" s="137">
        <v>82.6</v>
      </c>
      <c r="C47" s="79">
        <f t="shared" si="0"/>
        <v>79.8</v>
      </c>
      <c r="D47" s="80">
        <v>0.682457627118644</v>
      </c>
      <c r="E47" s="80">
        <v>0.209474576271186</v>
      </c>
      <c r="F47" s="81">
        <v>0.219811138014528</v>
      </c>
      <c r="G47" s="81">
        <v>0.312832929782082</v>
      </c>
    </row>
    <row r="48" spans="1:7">
      <c r="A48" s="78" t="s">
        <v>214</v>
      </c>
      <c r="B48" s="137">
        <v>86.2</v>
      </c>
      <c r="C48" s="79">
        <f t="shared" si="0"/>
        <v>82.6</v>
      </c>
      <c r="D48" s="80">
        <v>0.695719257540603</v>
      </c>
      <c r="E48" s="80">
        <v>0.217431554524362</v>
      </c>
      <c r="F48" s="81">
        <v>0.227336426914153</v>
      </c>
      <c r="G48" s="81">
        <v>0.316473317865429</v>
      </c>
    </row>
    <row r="49" spans="1:7">
      <c r="A49" s="78" t="s">
        <v>215</v>
      </c>
      <c r="B49" s="137">
        <v>90.1</v>
      </c>
      <c r="C49" s="79">
        <f t="shared" si="0"/>
        <v>86.2</v>
      </c>
      <c r="D49" s="80">
        <v>0.70889012208657</v>
      </c>
      <c r="E49" s="80">
        <v>0.225334073251942</v>
      </c>
      <c r="F49" s="81">
        <v>0.234810210876804</v>
      </c>
      <c r="G49" s="81">
        <v>0.320088790233074</v>
      </c>
    </row>
    <row r="50" spans="1:7">
      <c r="A50" s="78" t="s">
        <v>216</v>
      </c>
      <c r="B50" s="137">
        <v>93.1</v>
      </c>
      <c r="C50" s="79">
        <f t="shared" si="0"/>
        <v>90.1</v>
      </c>
      <c r="D50" s="80">
        <v>0.718270676691729</v>
      </c>
      <c r="E50" s="80">
        <v>0.230962406015038</v>
      </c>
      <c r="F50" s="81">
        <v>0.240133190118153</v>
      </c>
      <c r="G50" s="81">
        <v>0.32266380236305</v>
      </c>
    </row>
    <row r="51" spans="1:7">
      <c r="A51" s="78" t="s">
        <v>217</v>
      </c>
      <c r="B51" s="137">
        <v>101.5</v>
      </c>
      <c r="C51" s="79">
        <f t="shared" si="0"/>
        <v>93.1</v>
      </c>
      <c r="D51" s="80">
        <v>0.741586206896552</v>
      </c>
      <c r="E51" s="80">
        <v>0.244951724137931</v>
      </c>
      <c r="F51" s="81">
        <v>0.25336354679803</v>
      </c>
      <c r="G51" s="81">
        <v>0.329064039408867</v>
      </c>
    </row>
    <row r="52" spans="1:7">
      <c r="A52" s="78" t="s">
        <v>218</v>
      </c>
      <c r="B52" s="79">
        <v>111.7</v>
      </c>
      <c r="C52" s="79">
        <f t="shared" si="0"/>
        <v>101.5</v>
      </c>
      <c r="D52" s="80">
        <v>0.765183527305282</v>
      </c>
      <c r="E52" s="80">
        <v>0.259110116383169</v>
      </c>
      <c r="F52" s="81">
        <v>0.266753804834378</v>
      </c>
      <c r="G52" s="81">
        <v>0.335541629364369</v>
      </c>
    </row>
    <row r="53" spans="1:7">
      <c r="A53" s="78" t="s">
        <v>219</v>
      </c>
      <c r="B53" s="137">
        <v>127.7</v>
      </c>
      <c r="C53" s="79">
        <f t="shared" si="0"/>
        <v>111.7</v>
      </c>
      <c r="D53" s="80">
        <v>0.794604541895067</v>
      </c>
      <c r="E53" s="80">
        <v>0.27676272513704</v>
      </c>
      <c r="F53" s="81">
        <v>0.283448707909162</v>
      </c>
      <c r="G53" s="81">
        <v>0.343617854346124</v>
      </c>
    </row>
    <row r="54" spans="1:7">
      <c r="A54" s="78" t="s">
        <v>220</v>
      </c>
      <c r="B54" s="137">
        <v>158.8</v>
      </c>
      <c r="C54" s="79">
        <f t="shared" si="0"/>
        <v>127.7</v>
      </c>
      <c r="D54" s="80">
        <v>0.834829974811083</v>
      </c>
      <c r="E54" s="80">
        <v>0.30089798488665</v>
      </c>
      <c r="F54" s="81">
        <v>0.306274559193955</v>
      </c>
      <c r="G54" s="81">
        <v>0.354659949622166</v>
      </c>
    </row>
    <row r="55" spans="1:7">
      <c r="A55" s="78" t="s">
        <v>221</v>
      </c>
      <c r="B55" s="137">
        <v>238.3</v>
      </c>
      <c r="C55" s="79">
        <f t="shared" si="0"/>
        <v>158.8</v>
      </c>
      <c r="D55" s="80">
        <v>0.889932857742342</v>
      </c>
      <c r="E55" s="80">
        <v>0.333959714645405</v>
      </c>
      <c r="F55" s="81">
        <v>0.337542593369702</v>
      </c>
      <c r="G55" s="81">
        <v>0.369785984053714</v>
      </c>
    </row>
    <row r="56" spans="1:7">
      <c r="A56" s="78" t="s">
        <v>221</v>
      </c>
      <c r="B56" s="82" t="s">
        <v>359</v>
      </c>
      <c r="C56" s="79">
        <f t="shared" si="0"/>
        <v>238.3</v>
      </c>
      <c r="D56" s="83">
        <v>49.1</v>
      </c>
      <c r="E56" s="83"/>
      <c r="F56" s="84"/>
      <c r="G56" s="84"/>
    </row>
    <row r="57" spans="1:7">
      <c r="A57" s="78"/>
      <c r="B57" s="82"/>
      <c r="C57" s="82"/>
      <c r="D57" s="83"/>
      <c r="E57" s="85">
        <v>0.0841505446562355</v>
      </c>
      <c r="F57" s="86">
        <v>0.0907799860102445</v>
      </c>
      <c r="G57" s="86">
        <v>0.187390937145251</v>
      </c>
    </row>
    <row r="58" ht="48" spans="1:7">
      <c r="A58" s="87" t="s">
        <v>233</v>
      </c>
      <c r="B58" s="82">
        <v>20</v>
      </c>
      <c r="C58" s="82"/>
      <c r="D58" s="83"/>
      <c r="F58" s="128">
        <v>41.3433333333333</v>
      </c>
      <c r="G58" s="129">
        <v>20</v>
      </c>
    </row>
    <row r="59" ht="48" spans="1:7">
      <c r="A59" s="87" t="s">
        <v>224</v>
      </c>
      <c r="B59" s="82">
        <v>49.4</v>
      </c>
      <c r="C59" s="82"/>
      <c r="D59" s="83"/>
      <c r="E59" s="312">
        <v>43.715</v>
      </c>
      <c r="F59" s="84"/>
      <c r="G59" s="84"/>
    </row>
    <row r="60" ht="84" spans="1:7">
      <c r="A60" s="106" t="s">
        <v>225</v>
      </c>
      <c r="B60" s="78">
        <v>12</v>
      </c>
      <c r="C60" s="78"/>
      <c r="D60" s="83"/>
      <c r="E60" s="312">
        <v>26.229</v>
      </c>
      <c r="F60" s="84">
        <v>24.806</v>
      </c>
      <c r="G60" s="84">
        <v>12</v>
      </c>
    </row>
    <row r="62" ht="48.75" spans="1:2">
      <c r="A62" s="256" t="s">
        <v>224</v>
      </c>
      <c r="B62">
        <f>B59</f>
        <v>49.4</v>
      </c>
    </row>
    <row r="63" spans="1:3">
      <c r="A63" s="531" t="s">
        <v>226</v>
      </c>
      <c r="B63" s="95">
        <f>AVERAGE(B11:B50)</f>
        <v>43.715</v>
      </c>
      <c r="C63" s="95"/>
    </row>
    <row r="64" spans="1:3">
      <c r="A64" s="531" t="s">
        <v>227</v>
      </c>
      <c r="B64" s="96">
        <f>AVERAGE(B16:B45)</f>
        <v>41.3433333333333</v>
      </c>
      <c r="C64" s="96"/>
    </row>
    <row r="65" spans="1:3">
      <c r="A65" s="531" t="s">
        <v>228</v>
      </c>
      <c r="B65" s="96">
        <f>AVERAGE(B22:B40)</f>
        <v>39.8684210526316</v>
      </c>
      <c r="C65" s="96"/>
    </row>
    <row r="69" customHeight="1" spans="1:7">
      <c r="A69" s="83" t="s">
        <v>165</v>
      </c>
      <c r="B69" s="311" t="s">
        <v>229</v>
      </c>
      <c r="C69" s="311"/>
      <c r="D69" s="311"/>
      <c r="E69" s="98">
        <f>(1-E124)^(1/3)-1</f>
        <v>-0.0244939990527714</v>
      </c>
      <c r="F69" s="98">
        <f>(1-F124)^(1/3)-1</f>
        <v>-0.0257279394720964</v>
      </c>
      <c r="G69" s="98"/>
    </row>
    <row r="70" ht="72" spans="1:7">
      <c r="A70" s="83"/>
      <c r="B70" s="83" t="s">
        <v>167</v>
      </c>
      <c r="C70" s="83"/>
      <c r="D70" s="83" t="s">
        <v>168</v>
      </c>
      <c r="E70" s="83" t="s">
        <v>169</v>
      </c>
      <c r="F70" s="84" t="s">
        <v>169</v>
      </c>
      <c r="G70" s="84"/>
    </row>
    <row r="71" ht="24" spans="1:7">
      <c r="A71" s="83"/>
      <c r="B71" s="83" t="s">
        <v>230</v>
      </c>
      <c r="C71" s="83"/>
      <c r="D71" s="83" t="s">
        <v>171</v>
      </c>
      <c r="E71" s="83" t="s">
        <v>171</v>
      </c>
      <c r="F71" s="84" t="s">
        <v>171</v>
      </c>
      <c r="G71" s="84"/>
    </row>
    <row r="72" spans="1:7">
      <c r="A72" s="75">
        <v>1</v>
      </c>
      <c r="B72" s="76">
        <v>2</v>
      </c>
      <c r="C72" s="76"/>
      <c r="D72" s="76">
        <v>3</v>
      </c>
      <c r="E72" s="76">
        <v>4</v>
      </c>
      <c r="F72" s="77">
        <v>5</v>
      </c>
      <c r="G72" s="77"/>
    </row>
    <row r="73" spans="1:7">
      <c r="A73" s="530" t="s">
        <v>172</v>
      </c>
      <c r="B73" s="101">
        <v>5.1</v>
      </c>
      <c r="C73" s="102">
        <v>0</v>
      </c>
      <c r="D73" s="80">
        <v>0</v>
      </c>
      <c r="E73" s="80">
        <v>0</v>
      </c>
      <c r="F73" s="81">
        <v>0</v>
      </c>
      <c r="G73" s="81">
        <v>0</v>
      </c>
    </row>
    <row r="74" spans="1:7">
      <c r="A74" s="530" t="s">
        <v>173</v>
      </c>
      <c r="B74" s="138">
        <v>15.6</v>
      </c>
      <c r="C74" s="79">
        <f>B73</f>
        <v>5.1</v>
      </c>
      <c r="D74" s="80">
        <v>0</v>
      </c>
      <c r="E74" s="80">
        <v>0</v>
      </c>
      <c r="F74" s="81">
        <v>0</v>
      </c>
      <c r="G74" s="81">
        <v>0</v>
      </c>
    </row>
    <row r="75" spans="1:7">
      <c r="A75" s="530" t="s">
        <v>174</v>
      </c>
      <c r="B75" s="138">
        <v>17.7</v>
      </c>
      <c r="C75" s="79">
        <f t="shared" ref="C75:C123" si="1">B74</f>
        <v>15.6</v>
      </c>
      <c r="D75" s="80">
        <v>0</v>
      </c>
      <c r="E75" s="80">
        <v>0</v>
      </c>
      <c r="F75" s="81">
        <v>0</v>
      </c>
      <c r="G75" s="81">
        <v>0.00667796610169491</v>
      </c>
    </row>
    <row r="76" spans="1:7">
      <c r="A76" s="530" t="s">
        <v>175</v>
      </c>
      <c r="B76" s="138">
        <v>22.1</v>
      </c>
      <c r="C76" s="79">
        <f t="shared" si="1"/>
        <v>17.7</v>
      </c>
      <c r="D76" s="80">
        <v>0</v>
      </c>
      <c r="E76" s="80">
        <v>0</v>
      </c>
      <c r="F76" s="81">
        <v>0</v>
      </c>
      <c r="G76" s="81">
        <v>0.0252579185520362</v>
      </c>
    </row>
    <row r="77" spans="1:7">
      <c r="A77" s="530" t="s">
        <v>176</v>
      </c>
      <c r="B77" s="138">
        <v>23.4</v>
      </c>
      <c r="C77" s="79">
        <f t="shared" si="1"/>
        <v>22.1</v>
      </c>
      <c r="D77" s="80">
        <v>0</v>
      </c>
      <c r="E77" s="80">
        <v>0</v>
      </c>
      <c r="F77" s="81">
        <v>0</v>
      </c>
      <c r="G77" s="81">
        <v>0.0294102564102564</v>
      </c>
    </row>
    <row r="78" spans="1:7">
      <c r="A78" s="530" t="s">
        <v>177</v>
      </c>
      <c r="B78" s="138">
        <v>24.4</v>
      </c>
      <c r="C78" s="79">
        <f t="shared" si="1"/>
        <v>23.4</v>
      </c>
      <c r="D78" s="80">
        <v>0</v>
      </c>
      <c r="E78" s="80">
        <v>0</v>
      </c>
      <c r="F78" s="81">
        <v>0</v>
      </c>
      <c r="G78" s="81">
        <v>0.0323032786885246</v>
      </c>
    </row>
    <row r="79" spans="1:7">
      <c r="A79" s="530" t="s">
        <v>178</v>
      </c>
      <c r="B79" s="138">
        <v>25.6</v>
      </c>
      <c r="C79" s="79">
        <f t="shared" si="1"/>
        <v>24.4</v>
      </c>
      <c r="D79" s="80">
        <v>0</v>
      </c>
      <c r="E79" s="80">
        <v>0</v>
      </c>
      <c r="F79" s="81">
        <v>0.001171875</v>
      </c>
      <c r="G79" s="81">
        <v>0.0354765625</v>
      </c>
    </row>
    <row r="80" spans="1:7">
      <c r="A80" s="78" t="s">
        <v>179</v>
      </c>
      <c r="B80" s="138">
        <v>26.5</v>
      </c>
      <c r="C80" s="79">
        <f t="shared" si="1"/>
        <v>25.6</v>
      </c>
      <c r="D80" s="80">
        <v>0.0231320754716981</v>
      </c>
      <c r="E80" s="80"/>
      <c r="F80" s="81"/>
      <c r="G80" s="81"/>
    </row>
    <row r="81" spans="1:7">
      <c r="A81" s="78" t="s">
        <v>180</v>
      </c>
      <c r="B81" s="138">
        <v>27.8</v>
      </c>
      <c r="C81" s="79">
        <f t="shared" si="1"/>
        <v>26.5</v>
      </c>
      <c r="D81" s="80">
        <v>0.0688129496402878</v>
      </c>
      <c r="E81" s="80"/>
      <c r="F81" s="81"/>
      <c r="G81" s="81"/>
    </row>
    <row r="82" spans="1:7">
      <c r="A82" s="78" t="s">
        <v>181</v>
      </c>
      <c r="B82" s="138">
        <v>28.8</v>
      </c>
      <c r="C82" s="79">
        <f t="shared" si="1"/>
        <v>27.8</v>
      </c>
      <c r="D82" s="80">
        <v>0.101145833333333</v>
      </c>
      <c r="E82" s="80">
        <v>0.0101145833333333</v>
      </c>
      <c r="F82" s="81">
        <v>0.0121527777777778</v>
      </c>
      <c r="G82" s="81">
        <v>0.055875</v>
      </c>
    </row>
    <row r="83" spans="1:7">
      <c r="A83" s="78" t="s">
        <v>182</v>
      </c>
      <c r="B83" s="101">
        <v>29.8</v>
      </c>
      <c r="C83" s="79">
        <f t="shared" si="1"/>
        <v>28.8</v>
      </c>
      <c r="D83" s="80">
        <v>0.131308724832215</v>
      </c>
      <c r="E83" s="80">
        <v>0.0131308724832215</v>
      </c>
      <c r="F83" s="81">
        <v>0.0151006711409396</v>
      </c>
      <c r="G83" s="81">
        <v>0.0674228187919463</v>
      </c>
    </row>
    <row r="84" spans="1:7">
      <c r="A84" s="78" t="s">
        <v>183</v>
      </c>
      <c r="B84" s="101">
        <v>30.9</v>
      </c>
      <c r="C84" s="79">
        <f t="shared" si="1"/>
        <v>29.8</v>
      </c>
      <c r="D84" s="80">
        <v>0.162233009708738</v>
      </c>
      <c r="E84" s="80">
        <v>0.0162233009708738</v>
      </c>
      <c r="F84" s="81">
        <v>0.0181229773462783</v>
      </c>
      <c r="G84" s="81">
        <v>0.0792621359223301</v>
      </c>
    </row>
    <row r="85" spans="1:7">
      <c r="A85" s="78" t="s">
        <v>184</v>
      </c>
      <c r="B85" s="138">
        <v>31.8</v>
      </c>
      <c r="C85" s="79">
        <f t="shared" si="1"/>
        <v>30.9</v>
      </c>
      <c r="D85" s="80">
        <v>0.185943396226415</v>
      </c>
      <c r="E85" s="80">
        <v>0.0185943396226415</v>
      </c>
      <c r="F85" s="81">
        <v>0.020440251572327</v>
      </c>
      <c r="G85" s="81">
        <v>0.0883396226415094</v>
      </c>
    </row>
    <row r="86" spans="1:7">
      <c r="A86" s="78" t="s">
        <v>185</v>
      </c>
      <c r="B86" s="101">
        <v>32.7</v>
      </c>
      <c r="C86" s="79">
        <f t="shared" si="1"/>
        <v>31.8</v>
      </c>
      <c r="D86" s="80">
        <v>0.208348623853211</v>
      </c>
      <c r="E86" s="80">
        <v>0.0208348623853211</v>
      </c>
      <c r="F86" s="81">
        <v>0.0226299694189602</v>
      </c>
      <c r="G86" s="81">
        <v>0.0969174311926606</v>
      </c>
    </row>
    <row r="87" spans="1:7">
      <c r="A87" s="78" t="s">
        <v>186</v>
      </c>
      <c r="B87" s="138">
        <v>33.4</v>
      </c>
      <c r="C87" s="79">
        <f t="shared" si="1"/>
        <v>32.7</v>
      </c>
      <c r="D87" s="80">
        <v>0.224940119760479</v>
      </c>
      <c r="E87" s="80">
        <v>0.0224940119760479</v>
      </c>
      <c r="F87" s="81">
        <v>0.024251497005988</v>
      </c>
      <c r="G87" s="81">
        <v>0.103269461077844</v>
      </c>
    </row>
    <row r="88" spans="1:7">
      <c r="A88" s="78" t="s">
        <v>187</v>
      </c>
      <c r="B88" s="138">
        <v>34.2</v>
      </c>
      <c r="C88" s="79">
        <f t="shared" si="1"/>
        <v>33.4</v>
      </c>
      <c r="D88" s="80">
        <v>0.243070175438597</v>
      </c>
      <c r="E88" s="80">
        <v>0.0243070175438597</v>
      </c>
      <c r="F88" s="81">
        <v>0.0260233918128655</v>
      </c>
      <c r="G88" s="81">
        <v>0.11021052631579</v>
      </c>
    </row>
    <row r="89" spans="1:7">
      <c r="A89" s="78" t="s">
        <v>188</v>
      </c>
      <c r="B89" s="138">
        <v>35.1</v>
      </c>
      <c r="C89" s="79">
        <f t="shared" si="1"/>
        <v>34.2</v>
      </c>
      <c r="D89" s="80">
        <v>0.262478632478633</v>
      </c>
      <c r="E89" s="80">
        <v>0.0262478632478633</v>
      </c>
      <c r="F89" s="81">
        <v>0.0279202279202279</v>
      </c>
      <c r="G89" s="81">
        <v>0.117641025641026</v>
      </c>
    </row>
    <row r="90" spans="1:7">
      <c r="A90" s="78" t="s">
        <v>189</v>
      </c>
      <c r="B90" s="101">
        <v>36</v>
      </c>
      <c r="C90" s="79">
        <f t="shared" si="1"/>
        <v>35.1</v>
      </c>
      <c r="D90" s="80">
        <v>0.280916666666667</v>
      </c>
      <c r="E90" s="80">
        <v>0.0280916666666667</v>
      </c>
      <c r="F90" s="81">
        <v>0.0297222222222222</v>
      </c>
      <c r="G90" s="81">
        <v>0.1247</v>
      </c>
    </row>
    <row r="91" spans="1:7">
      <c r="A91" s="78" t="s">
        <v>190</v>
      </c>
      <c r="B91" s="138">
        <v>36.6</v>
      </c>
      <c r="C91" s="79">
        <f t="shared" si="1"/>
        <v>36</v>
      </c>
      <c r="D91" s="80">
        <v>0.292704918032787</v>
      </c>
      <c r="E91" s="80">
        <v>0.0292704918032787</v>
      </c>
      <c r="F91" s="81">
        <v>0.0308743169398907</v>
      </c>
      <c r="G91" s="81">
        <v>0.129213114754098</v>
      </c>
    </row>
    <row r="92" spans="1:7">
      <c r="A92" s="78" t="s">
        <v>191</v>
      </c>
      <c r="B92" s="138">
        <v>37.1</v>
      </c>
      <c r="C92" s="79">
        <f t="shared" si="1"/>
        <v>36.6</v>
      </c>
      <c r="D92" s="80">
        <v>0.302237196765499</v>
      </c>
      <c r="E92" s="80">
        <v>0.0302237196765499</v>
      </c>
      <c r="F92" s="81">
        <v>0.0318059299191375</v>
      </c>
      <c r="G92" s="81">
        <v>0.132862533692722</v>
      </c>
    </row>
    <row r="93" spans="1:7">
      <c r="A93" s="78" t="s">
        <v>192</v>
      </c>
      <c r="B93" s="138">
        <v>38.1</v>
      </c>
      <c r="C93" s="79">
        <f t="shared" si="1"/>
        <v>37.1</v>
      </c>
      <c r="D93" s="80">
        <v>0.320551181102362</v>
      </c>
      <c r="E93" s="80">
        <v>0.0320551181102362</v>
      </c>
      <c r="F93" s="81">
        <v>0.0335958005249344</v>
      </c>
      <c r="G93" s="81">
        <v>0.139874015748032</v>
      </c>
    </row>
    <row r="94" spans="1:7">
      <c r="A94" s="78" t="s">
        <v>193</v>
      </c>
      <c r="B94" s="101">
        <v>38.9</v>
      </c>
      <c r="C94" s="79">
        <f t="shared" si="1"/>
        <v>38.1</v>
      </c>
      <c r="D94" s="80">
        <v>0.33452442159383</v>
      </c>
      <c r="E94" s="80">
        <v>0.033452442159383</v>
      </c>
      <c r="F94" s="81">
        <v>0.0349614395886889</v>
      </c>
      <c r="G94" s="81">
        <v>0.145223650385604</v>
      </c>
    </row>
    <row r="95" spans="1:7">
      <c r="A95" s="78" t="s">
        <v>194</v>
      </c>
      <c r="B95" s="138">
        <v>39.3</v>
      </c>
      <c r="C95" s="79">
        <f t="shared" si="1"/>
        <v>38.9</v>
      </c>
      <c r="D95" s="80">
        <v>0.341297709923664</v>
      </c>
      <c r="E95" s="80">
        <v>0.0341297709923664</v>
      </c>
      <c r="F95" s="81">
        <v>0.0356234096692112</v>
      </c>
      <c r="G95" s="81">
        <v>0.14781679389313</v>
      </c>
    </row>
    <row r="96" spans="1:7">
      <c r="A96" s="78" t="s">
        <v>195</v>
      </c>
      <c r="B96" s="101">
        <v>40.4</v>
      </c>
      <c r="C96" s="79">
        <f t="shared" si="1"/>
        <v>39.3</v>
      </c>
      <c r="D96" s="80">
        <v>0.359232673267327</v>
      </c>
      <c r="E96" s="80">
        <v>0.0359232673267327</v>
      </c>
      <c r="F96" s="81">
        <v>0.0373762376237624</v>
      </c>
      <c r="G96" s="81">
        <v>0.154683168316832</v>
      </c>
    </row>
    <row r="97" spans="1:7">
      <c r="A97" s="78" t="s">
        <v>196</v>
      </c>
      <c r="B97" s="101">
        <v>41.2</v>
      </c>
      <c r="C97" s="79">
        <f t="shared" si="1"/>
        <v>40.4</v>
      </c>
      <c r="D97" s="80">
        <v>0.371674757281553</v>
      </c>
      <c r="E97" s="80">
        <v>0.0371674757281553</v>
      </c>
      <c r="F97" s="81">
        <v>0.0385922330097087</v>
      </c>
      <c r="G97" s="81">
        <v>0.159446601941748</v>
      </c>
    </row>
    <row r="98" spans="1:7">
      <c r="A98" s="78" t="s">
        <v>197</v>
      </c>
      <c r="B98" s="101">
        <v>42.1</v>
      </c>
      <c r="C98" s="79">
        <f t="shared" si="1"/>
        <v>41.2</v>
      </c>
      <c r="D98" s="80">
        <v>0.385106888361045</v>
      </c>
      <c r="E98" s="80">
        <v>0.0385106888361045</v>
      </c>
      <c r="F98" s="81">
        <v>0.0399049881235154</v>
      </c>
      <c r="G98" s="81">
        <v>0.164589073634204</v>
      </c>
    </row>
    <row r="99" spans="1:7">
      <c r="A99" s="78" t="s">
        <v>198</v>
      </c>
      <c r="B99" s="101">
        <v>42.6</v>
      </c>
      <c r="C99" s="79">
        <f t="shared" si="1"/>
        <v>42.1</v>
      </c>
      <c r="D99" s="80">
        <v>0.392323943661972</v>
      </c>
      <c r="E99" s="80">
        <v>0.0392323943661972</v>
      </c>
      <c r="F99" s="81">
        <v>0.0436619718309859</v>
      </c>
      <c r="G99" s="81">
        <v>0.167352112676056</v>
      </c>
    </row>
    <row r="100" spans="1:7">
      <c r="A100" s="78" t="s">
        <v>199</v>
      </c>
      <c r="B100" s="101">
        <v>43</v>
      </c>
      <c r="C100" s="79">
        <f t="shared" si="1"/>
        <v>42.6</v>
      </c>
      <c r="D100" s="80">
        <v>0.397976744186047</v>
      </c>
      <c r="E100" s="80">
        <v>0.0397976744186046</v>
      </c>
      <c r="F100" s="81">
        <v>0.0469767441860465</v>
      </c>
      <c r="G100" s="81">
        <v>0.169516279069767</v>
      </c>
    </row>
    <row r="101" spans="1:7">
      <c r="A101" s="78" t="s">
        <v>200</v>
      </c>
      <c r="B101" s="138">
        <v>44.2</v>
      </c>
      <c r="C101" s="79">
        <f t="shared" si="1"/>
        <v>43</v>
      </c>
      <c r="D101" s="80">
        <v>0.414321266968326</v>
      </c>
      <c r="E101" s="80">
        <v>0.0485927601809955</v>
      </c>
      <c r="F101" s="81">
        <v>0.0565610859728507</v>
      </c>
      <c r="G101" s="81">
        <v>0.175773755656109</v>
      </c>
    </row>
    <row r="102" spans="1:7">
      <c r="A102" s="78" t="s">
        <v>201</v>
      </c>
      <c r="B102" s="101">
        <v>45.2</v>
      </c>
      <c r="C102" s="79">
        <f t="shared" si="1"/>
        <v>44.2</v>
      </c>
      <c r="D102" s="80">
        <v>0.427278761061947</v>
      </c>
      <c r="E102" s="80">
        <v>0.0563672566371681</v>
      </c>
      <c r="F102" s="81">
        <v>0.0641592920353982</v>
      </c>
      <c r="G102" s="81">
        <v>0.180734513274336</v>
      </c>
    </row>
    <row r="103" spans="1:7">
      <c r="A103" s="78" t="s">
        <v>202</v>
      </c>
      <c r="B103" s="138">
        <v>45.6</v>
      </c>
      <c r="C103" s="79">
        <f t="shared" si="1"/>
        <v>45.2</v>
      </c>
      <c r="D103" s="80">
        <v>0.432302631578947</v>
      </c>
      <c r="E103" s="80">
        <v>0.0593815789473684</v>
      </c>
      <c r="F103" s="81">
        <v>0.0671052631578947</v>
      </c>
      <c r="G103" s="81">
        <v>0.182657894736842</v>
      </c>
    </row>
    <row r="104" spans="1:7">
      <c r="A104" s="78" t="s">
        <v>203</v>
      </c>
      <c r="B104" s="101">
        <v>46.5</v>
      </c>
      <c r="C104" s="79">
        <f t="shared" si="1"/>
        <v>45.6</v>
      </c>
      <c r="D104" s="80">
        <v>0.443290322580645</v>
      </c>
      <c r="E104" s="80">
        <v>0.0659741935483871</v>
      </c>
      <c r="F104" s="81">
        <v>0.0735483870967742</v>
      </c>
      <c r="G104" s="81">
        <v>0.186864516129032</v>
      </c>
    </row>
    <row r="105" spans="1:7">
      <c r="A105" s="78" t="s">
        <v>204</v>
      </c>
      <c r="B105" s="101">
        <v>47.4</v>
      </c>
      <c r="C105" s="79">
        <f t="shared" si="1"/>
        <v>46.5</v>
      </c>
      <c r="D105" s="80">
        <v>0.453860759493671</v>
      </c>
      <c r="E105" s="80">
        <v>0.0723164556962025</v>
      </c>
      <c r="F105" s="81">
        <v>0.0797468354430379</v>
      </c>
      <c r="G105" s="81">
        <v>0.190911392405063</v>
      </c>
    </row>
    <row r="106" spans="1:7">
      <c r="A106" s="78" t="s">
        <v>205</v>
      </c>
      <c r="B106" s="138">
        <v>49.1</v>
      </c>
      <c r="C106" s="79">
        <f t="shared" si="1"/>
        <v>47.4</v>
      </c>
      <c r="D106" s="80">
        <v>0.472769857433809</v>
      </c>
      <c r="E106" s="80">
        <v>0.0836619144602851</v>
      </c>
      <c r="F106" s="81">
        <v>0.0908350305498982</v>
      </c>
      <c r="G106" s="81">
        <v>0.198150712830957</v>
      </c>
    </row>
    <row r="107" spans="1:7">
      <c r="A107" s="78" t="s">
        <v>206</v>
      </c>
      <c r="B107" s="138">
        <v>50.4</v>
      </c>
      <c r="C107" s="79">
        <f t="shared" si="1"/>
        <v>49.1</v>
      </c>
      <c r="D107" s="80">
        <v>0.486369047619048</v>
      </c>
      <c r="E107" s="80">
        <v>0.0918214285714286</v>
      </c>
      <c r="F107" s="81">
        <v>0.0988095238095238</v>
      </c>
      <c r="G107" s="81">
        <v>0.203357142857143</v>
      </c>
    </row>
    <row r="108" spans="1:7">
      <c r="A108" s="78" t="s">
        <v>207</v>
      </c>
      <c r="B108" s="138">
        <v>52.4</v>
      </c>
      <c r="C108" s="79">
        <f t="shared" si="1"/>
        <v>50.4</v>
      </c>
      <c r="D108" s="80">
        <v>0.505973282442748</v>
      </c>
      <c r="E108" s="80">
        <v>0.103583969465649</v>
      </c>
      <c r="F108" s="81">
        <v>0.11030534351145</v>
      </c>
      <c r="G108" s="81">
        <v>0.210862595419847</v>
      </c>
    </row>
    <row r="109" spans="1:7">
      <c r="A109" s="78" t="s">
        <v>208</v>
      </c>
      <c r="B109" s="138">
        <v>53.2</v>
      </c>
      <c r="C109" s="79">
        <f t="shared" si="1"/>
        <v>52.4</v>
      </c>
      <c r="D109" s="80">
        <v>0.513402255639098</v>
      </c>
      <c r="E109" s="80">
        <v>0.108041353383459</v>
      </c>
      <c r="F109" s="81">
        <v>0.114661654135338</v>
      </c>
      <c r="G109" s="81">
        <v>0.213706766917293</v>
      </c>
    </row>
    <row r="110" spans="1:7">
      <c r="A110" s="78" t="s">
        <v>209</v>
      </c>
      <c r="B110" s="101">
        <v>54</v>
      </c>
      <c r="C110" s="79">
        <f t="shared" si="1"/>
        <v>53.2</v>
      </c>
      <c r="D110" s="80">
        <v>0.520611111111111</v>
      </c>
      <c r="E110" s="80">
        <v>0.112366666666667</v>
      </c>
      <c r="F110" s="81">
        <v>0.118888888888889</v>
      </c>
      <c r="G110" s="81">
        <v>0.216466666666667</v>
      </c>
    </row>
    <row r="111" spans="1:7">
      <c r="A111" s="78" t="s">
        <v>210</v>
      </c>
      <c r="B111" s="138">
        <v>55.8</v>
      </c>
      <c r="C111" s="79">
        <f t="shared" si="1"/>
        <v>54</v>
      </c>
      <c r="D111" s="80">
        <v>0.536075268817204</v>
      </c>
      <c r="E111" s="80">
        <v>0.121645161290323</v>
      </c>
      <c r="F111" s="81">
        <v>0.127956989247312</v>
      </c>
      <c r="G111" s="81">
        <v>0.222387096774194</v>
      </c>
    </row>
    <row r="112" spans="1:7">
      <c r="A112" s="78" t="s">
        <v>211</v>
      </c>
      <c r="B112" s="101">
        <v>58</v>
      </c>
      <c r="C112" s="79">
        <f t="shared" si="1"/>
        <v>55.8</v>
      </c>
      <c r="D112" s="80">
        <v>0.553672413793103</v>
      </c>
      <c r="E112" s="80">
        <v>0.132203448275862</v>
      </c>
      <c r="F112" s="81">
        <v>0.138275862068965</v>
      </c>
      <c r="G112" s="81">
        <v>0.229124137931035</v>
      </c>
    </row>
    <row r="113" spans="1:7">
      <c r="A113" s="78" t="s">
        <v>212</v>
      </c>
      <c r="B113" s="138">
        <v>60.6</v>
      </c>
      <c r="C113" s="79">
        <f t="shared" si="1"/>
        <v>58</v>
      </c>
      <c r="D113" s="80">
        <v>0.572821782178218</v>
      </c>
      <c r="E113" s="80">
        <v>0.143693069306931</v>
      </c>
      <c r="F113" s="81">
        <v>0.149504950495049</v>
      </c>
      <c r="G113" s="81">
        <v>0.236455445544554</v>
      </c>
    </row>
    <row r="114" spans="1:7">
      <c r="A114" s="78" t="s">
        <v>213</v>
      </c>
      <c r="B114" s="138">
        <v>62.5</v>
      </c>
      <c r="C114" s="79">
        <f t="shared" si="1"/>
        <v>60.6</v>
      </c>
      <c r="D114" s="80">
        <v>0.585808</v>
      </c>
      <c r="E114" s="80">
        <v>0.1514848</v>
      </c>
      <c r="F114" s="81">
        <v>0.15712</v>
      </c>
      <c r="G114" s="81">
        <v>0.2414272</v>
      </c>
    </row>
    <row r="115" spans="1:7">
      <c r="A115" s="78" t="s">
        <v>214</v>
      </c>
      <c r="B115" s="101">
        <v>65.1</v>
      </c>
      <c r="C115" s="79">
        <f t="shared" si="1"/>
        <v>62.5</v>
      </c>
      <c r="D115" s="80">
        <v>0.602350230414747</v>
      </c>
      <c r="E115" s="80">
        <v>0.161410138248848</v>
      </c>
      <c r="F115" s="81">
        <v>0.166820276497696</v>
      </c>
      <c r="G115" s="81">
        <v>0.247760368663594</v>
      </c>
    </row>
    <row r="116" spans="1:7">
      <c r="A116" s="78" t="s">
        <v>215</v>
      </c>
      <c r="B116" s="138">
        <v>67.5</v>
      </c>
      <c r="C116" s="79">
        <f t="shared" si="1"/>
        <v>65.1</v>
      </c>
      <c r="D116" s="80">
        <v>0.616488888888889</v>
      </c>
      <c r="E116" s="80">
        <v>0.169893333333333</v>
      </c>
      <c r="F116" s="81">
        <v>0.175111111111111</v>
      </c>
      <c r="G116" s="81">
        <v>0.253173333333333</v>
      </c>
    </row>
    <row r="117" spans="1:7">
      <c r="A117" s="78" t="s">
        <v>216</v>
      </c>
      <c r="B117" s="101">
        <v>72</v>
      </c>
      <c r="C117" s="79">
        <f t="shared" si="1"/>
        <v>67.5</v>
      </c>
      <c r="D117" s="80">
        <v>0.640458333333333</v>
      </c>
      <c r="E117" s="80">
        <v>0.184275</v>
      </c>
      <c r="F117" s="81">
        <v>0.189166666666667</v>
      </c>
      <c r="G117" s="81">
        <v>0.26235</v>
      </c>
    </row>
    <row r="118" spans="1:7">
      <c r="A118" s="78" t="s">
        <v>217</v>
      </c>
      <c r="B118" s="101">
        <v>76.9</v>
      </c>
      <c r="C118" s="79">
        <f t="shared" si="1"/>
        <v>72</v>
      </c>
      <c r="D118" s="80">
        <v>0.663368010403121</v>
      </c>
      <c r="E118" s="80">
        <v>0.198020806241873</v>
      </c>
      <c r="F118" s="81">
        <v>0.20260078023407</v>
      </c>
      <c r="G118" s="81">
        <v>0.271120936280884</v>
      </c>
    </row>
    <row r="119" spans="1:7">
      <c r="A119" s="78" t="s">
        <v>218</v>
      </c>
      <c r="B119" s="138">
        <v>80.5</v>
      </c>
      <c r="C119" s="79">
        <f t="shared" si="1"/>
        <v>76.9</v>
      </c>
      <c r="D119" s="80">
        <v>0.678422360248447</v>
      </c>
      <c r="E119" s="80">
        <v>0.207053416149068</v>
      </c>
      <c r="F119" s="81">
        <v>0.211428571428571</v>
      </c>
      <c r="G119" s="81">
        <v>0.276884472049689</v>
      </c>
    </row>
    <row r="120" spans="1:7">
      <c r="A120" s="78" t="s">
        <v>219</v>
      </c>
      <c r="B120" s="138">
        <v>87.3</v>
      </c>
      <c r="C120" s="79">
        <f t="shared" si="1"/>
        <v>80.5</v>
      </c>
      <c r="D120" s="80">
        <v>0.703470790378007</v>
      </c>
      <c r="E120" s="80">
        <v>0.222082474226804</v>
      </c>
      <c r="F120" s="81">
        <v>0.226116838487973</v>
      </c>
      <c r="G120" s="81">
        <v>0.286474226804124</v>
      </c>
    </row>
    <row r="121" spans="1:7">
      <c r="A121" s="78" t="s">
        <v>220</v>
      </c>
      <c r="B121" s="101">
        <v>115</v>
      </c>
      <c r="C121" s="79">
        <f t="shared" si="1"/>
        <v>87.3</v>
      </c>
      <c r="D121" s="80">
        <v>0.774895652173913</v>
      </c>
      <c r="E121" s="80">
        <v>0.264937391304348</v>
      </c>
      <c r="F121" s="81">
        <v>0.268</v>
      </c>
      <c r="G121" s="81">
        <v>0.313819130434783</v>
      </c>
    </row>
    <row r="122" spans="1:7">
      <c r="A122" s="78" t="s">
        <v>221</v>
      </c>
      <c r="B122" s="138">
        <v>137.5</v>
      </c>
      <c r="C122" s="79">
        <f t="shared" si="1"/>
        <v>115</v>
      </c>
      <c r="D122" s="80">
        <v>0.811730909090909</v>
      </c>
      <c r="E122" s="80">
        <v>0.287038545454545</v>
      </c>
      <c r="F122" s="81">
        <v>0.2896</v>
      </c>
      <c r="G122" s="81">
        <v>0.327921454545455</v>
      </c>
    </row>
    <row r="123" spans="1:7">
      <c r="A123" s="78" t="s">
        <v>221</v>
      </c>
      <c r="B123" s="78" t="s">
        <v>360</v>
      </c>
      <c r="C123" s="79">
        <f t="shared" si="1"/>
        <v>137.5</v>
      </c>
      <c r="D123" s="83" t="s">
        <v>232</v>
      </c>
      <c r="E123" s="83"/>
      <c r="F123" s="84"/>
      <c r="G123" s="84"/>
    </row>
    <row r="124" spans="1:7">
      <c r="A124" s="78"/>
      <c r="B124" s="78"/>
      <c r="C124" s="78"/>
      <c r="D124" s="83"/>
      <c r="E124" s="85">
        <v>0.0716968245109636</v>
      </c>
      <c r="F124" s="86">
        <v>0.0752150678222825</v>
      </c>
      <c r="G124" s="86">
        <v>0.153857788692175</v>
      </c>
    </row>
    <row r="125" ht="48" spans="1:7">
      <c r="A125" s="87" t="s">
        <v>233</v>
      </c>
      <c r="B125" s="282">
        <v>27.53</v>
      </c>
      <c r="C125" s="78"/>
      <c r="D125" s="83"/>
      <c r="F125" s="128">
        <v>42.1666666666667</v>
      </c>
      <c r="G125" s="129">
        <v>27.53</v>
      </c>
    </row>
    <row r="126" ht="48" spans="1:7">
      <c r="A126" s="87" t="s">
        <v>224</v>
      </c>
      <c r="B126" s="282">
        <v>47.9</v>
      </c>
      <c r="C126" s="78"/>
      <c r="D126" s="83"/>
      <c r="E126" s="315">
        <v>43.145</v>
      </c>
      <c r="F126" s="84"/>
      <c r="G126" s="84"/>
    </row>
    <row r="127" ht="84" spans="1:7">
      <c r="A127" s="106" t="s">
        <v>225</v>
      </c>
      <c r="B127" s="78">
        <v>16.5</v>
      </c>
      <c r="C127" s="78"/>
      <c r="D127" s="83"/>
      <c r="E127" s="315">
        <v>25.887</v>
      </c>
      <c r="F127" s="84">
        <v>25.3</v>
      </c>
      <c r="G127" s="84">
        <v>16.518</v>
      </c>
    </row>
    <row r="129" ht="48.75" spans="1:2">
      <c r="A129" s="256" t="s">
        <v>224</v>
      </c>
      <c r="B129">
        <f>B126</f>
        <v>47.9</v>
      </c>
    </row>
    <row r="130" spans="1:3">
      <c r="A130" s="531" t="s">
        <v>226</v>
      </c>
      <c r="B130" s="95">
        <f>AVERAGE(B78:B117)</f>
        <v>43.145</v>
      </c>
      <c r="C130" s="95"/>
    </row>
    <row r="131" spans="1:3">
      <c r="A131" s="531" t="s">
        <v>227</v>
      </c>
      <c r="B131" s="96">
        <f>AVERAGE(B83:B112)</f>
        <v>42.1666666666667</v>
      </c>
      <c r="C131" s="96"/>
    </row>
    <row r="132" spans="1:3">
      <c r="A132" s="531" t="s">
        <v>228</v>
      </c>
      <c r="B132" s="96">
        <f>AVERAGE(B89:B107)</f>
        <v>42.0421052631579</v>
      </c>
      <c r="C132" s="96"/>
    </row>
    <row r="134" spans="1:7">
      <c r="A134" s="83" t="s">
        <v>165</v>
      </c>
      <c r="B134" s="83" t="s">
        <v>347</v>
      </c>
      <c r="C134" s="83"/>
      <c r="D134" s="83"/>
      <c r="E134" s="86">
        <f>(1-E189)^(1/3)-1</f>
        <v>0</v>
      </c>
      <c r="F134" s="86">
        <f>(1-F189)^(1/3)-1</f>
        <v>0</v>
      </c>
      <c r="G134" s="86"/>
    </row>
    <row r="135" ht="72" spans="1:7">
      <c r="A135" s="83"/>
      <c r="B135" s="83" t="s">
        <v>167</v>
      </c>
      <c r="C135" s="107"/>
      <c r="D135" s="83" t="s">
        <v>168</v>
      </c>
      <c r="E135" s="83" t="s">
        <v>169</v>
      </c>
      <c r="F135" s="84" t="s">
        <v>169</v>
      </c>
      <c r="G135" s="84"/>
    </row>
    <row r="136" ht="24" spans="1:7">
      <c r="A136" s="83"/>
      <c r="B136" s="83" t="s">
        <v>235</v>
      </c>
      <c r="C136" s="107"/>
      <c r="D136" s="83" t="s">
        <v>171</v>
      </c>
      <c r="E136" s="83" t="s">
        <v>171</v>
      </c>
      <c r="F136" s="84" t="s">
        <v>171</v>
      </c>
      <c r="G136" s="84"/>
    </row>
    <row r="137" spans="1:7">
      <c r="A137" s="75">
        <v>1</v>
      </c>
      <c r="B137" s="76">
        <v>2</v>
      </c>
      <c r="C137" s="76"/>
      <c r="D137" s="76">
        <v>3</v>
      </c>
      <c r="E137" s="76">
        <v>4</v>
      </c>
      <c r="F137" s="77">
        <v>5</v>
      </c>
      <c r="G137" s="77"/>
    </row>
    <row r="138" spans="1:7">
      <c r="A138" s="530" t="s">
        <v>172</v>
      </c>
      <c r="B138" s="313"/>
      <c r="C138" s="112">
        <v>0</v>
      </c>
      <c r="D138" s="80">
        <f t="shared" ref="D138:D187" si="2">IF(B138=0,0,IF(B138&lt;=E$192,0,B138-E$192)/B138)</f>
        <v>0</v>
      </c>
      <c r="E138" s="80"/>
      <c r="F138" s="81"/>
      <c r="G138" s="81"/>
    </row>
    <row r="139" spans="1:7">
      <c r="A139" s="530" t="s">
        <v>173</v>
      </c>
      <c r="B139" s="313"/>
      <c r="C139" s="79">
        <f>B138</f>
        <v>0</v>
      </c>
      <c r="D139" s="80">
        <f t="shared" si="2"/>
        <v>0</v>
      </c>
      <c r="E139" s="80"/>
      <c r="F139" s="81"/>
      <c r="G139" s="81"/>
    </row>
    <row r="140" spans="1:7">
      <c r="A140" s="530" t="s">
        <v>174</v>
      </c>
      <c r="B140" s="313"/>
      <c r="C140" s="79">
        <f t="shared" ref="C140:C188" si="3">B139</f>
        <v>0</v>
      </c>
      <c r="D140" s="80">
        <f t="shared" si="2"/>
        <v>0</v>
      </c>
      <c r="E140" s="80"/>
      <c r="F140" s="81"/>
      <c r="G140" s="81"/>
    </row>
    <row r="141" spans="1:7">
      <c r="A141" s="530" t="s">
        <v>175</v>
      </c>
      <c r="B141" s="313"/>
      <c r="C141" s="79">
        <f t="shared" si="3"/>
        <v>0</v>
      </c>
      <c r="D141" s="80">
        <f t="shared" si="2"/>
        <v>0</v>
      </c>
      <c r="E141" s="80"/>
      <c r="F141" s="81"/>
      <c r="G141" s="81"/>
    </row>
    <row r="142" spans="1:7">
      <c r="A142" s="530" t="s">
        <v>176</v>
      </c>
      <c r="B142" s="313"/>
      <c r="C142" s="79">
        <f t="shared" si="3"/>
        <v>0</v>
      </c>
      <c r="D142" s="80">
        <f t="shared" si="2"/>
        <v>0</v>
      </c>
      <c r="E142" s="80"/>
      <c r="F142" s="81"/>
      <c r="G142" s="81"/>
    </row>
    <row r="143" spans="1:7">
      <c r="A143" s="530" t="s">
        <v>177</v>
      </c>
      <c r="B143" s="313"/>
      <c r="C143" s="79">
        <f t="shared" si="3"/>
        <v>0</v>
      </c>
      <c r="D143" s="80">
        <f t="shared" si="2"/>
        <v>0</v>
      </c>
      <c r="E143" s="80"/>
      <c r="F143" s="81"/>
      <c r="G143" s="81"/>
    </row>
    <row r="144" spans="1:7">
      <c r="A144" s="530" t="s">
        <v>178</v>
      </c>
      <c r="B144" s="313"/>
      <c r="C144" s="79">
        <f t="shared" si="3"/>
        <v>0</v>
      </c>
      <c r="D144" s="80">
        <f t="shared" si="2"/>
        <v>0</v>
      </c>
      <c r="E144" s="80"/>
      <c r="F144" s="81"/>
      <c r="G144" s="81"/>
    </row>
    <row r="145" spans="1:7">
      <c r="A145" s="78" t="s">
        <v>179</v>
      </c>
      <c r="B145" s="313"/>
      <c r="C145" s="79">
        <f t="shared" si="3"/>
        <v>0</v>
      </c>
      <c r="D145" s="80">
        <f t="shared" si="2"/>
        <v>0</v>
      </c>
      <c r="E145" s="80"/>
      <c r="F145" s="81"/>
      <c r="G145" s="81"/>
    </row>
    <row r="146" spans="1:7">
      <c r="A146" s="78" t="s">
        <v>180</v>
      </c>
      <c r="B146" s="313"/>
      <c r="C146" s="79">
        <f t="shared" si="3"/>
        <v>0</v>
      </c>
      <c r="D146" s="80">
        <f t="shared" si="2"/>
        <v>0</v>
      </c>
      <c r="E146" s="80"/>
      <c r="F146" s="81"/>
      <c r="G146" s="81"/>
    </row>
    <row r="147" spans="1:7">
      <c r="A147" s="78" t="s">
        <v>181</v>
      </c>
      <c r="B147" s="313"/>
      <c r="C147" s="79">
        <f t="shared" si="3"/>
        <v>0</v>
      </c>
      <c r="D147" s="80">
        <f t="shared" si="2"/>
        <v>0</v>
      </c>
      <c r="E147" s="80"/>
      <c r="F147" s="81"/>
      <c r="G147" s="81"/>
    </row>
    <row r="148" spans="1:7">
      <c r="A148" s="78" t="s">
        <v>182</v>
      </c>
      <c r="B148" s="313"/>
      <c r="C148" s="79">
        <f t="shared" si="3"/>
        <v>0</v>
      </c>
      <c r="D148" s="80">
        <f t="shared" si="2"/>
        <v>0</v>
      </c>
      <c r="E148" s="80"/>
      <c r="F148" s="81"/>
      <c r="G148" s="81"/>
    </row>
    <row r="149" spans="1:7">
      <c r="A149" s="78" t="s">
        <v>183</v>
      </c>
      <c r="B149" s="313"/>
      <c r="C149" s="79">
        <f t="shared" si="3"/>
        <v>0</v>
      </c>
      <c r="D149" s="80">
        <f t="shared" si="2"/>
        <v>0</v>
      </c>
      <c r="E149" s="80"/>
      <c r="F149" s="81"/>
      <c r="G149" s="81"/>
    </row>
    <row r="150" spans="1:7">
      <c r="A150" s="78" t="s">
        <v>184</v>
      </c>
      <c r="B150" s="313"/>
      <c r="C150" s="79">
        <f t="shared" si="3"/>
        <v>0</v>
      </c>
      <c r="D150" s="80">
        <f t="shared" si="2"/>
        <v>0</v>
      </c>
      <c r="E150" s="80"/>
      <c r="F150" s="81"/>
      <c r="G150" s="81"/>
    </row>
    <row r="151" spans="1:7">
      <c r="A151" s="78" t="s">
        <v>185</v>
      </c>
      <c r="B151" s="313"/>
      <c r="C151" s="79">
        <f t="shared" si="3"/>
        <v>0</v>
      </c>
      <c r="D151" s="80">
        <f t="shared" si="2"/>
        <v>0</v>
      </c>
      <c r="E151" s="80"/>
      <c r="F151" s="81"/>
      <c r="G151" s="81"/>
    </row>
    <row r="152" spans="1:7">
      <c r="A152" s="78" t="s">
        <v>186</v>
      </c>
      <c r="B152" s="313"/>
      <c r="C152" s="79">
        <f t="shared" si="3"/>
        <v>0</v>
      </c>
      <c r="D152" s="80">
        <f t="shared" si="2"/>
        <v>0</v>
      </c>
      <c r="E152" s="80"/>
      <c r="F152" s="81"/>
      <c r="G152" s="81"/>
    </row>
    <row r="153" spans="1:7">
      <c r="A153" s="78" t="s">
        <v>187</v>
      </c>
      <c r="B153" s="313"/>
      <c r="C153" s="79">
        <f t="shared" si="3"/>
        <v>0</v>
      </c>
      <c r="D153" s="80">
        <f t="shared" si="2"/>
        <v>0</v>
      </c>
      <c r="E153" s="80"/>
      <c r="F153" s="81"/>
      <c r="G153" s="81"/>
    </row>
    <row r="154" spans="1:7">
      <c r="A154" s="78" t="s">
        <v>188</v>
      </c>
      <c r="B154" s="313"/>
      <c r="C154" s="79">
        <f t="shared" si="3"/>
        <v>0</v>
      </c>
      <c r="D154" s="80">
        <f t="shared" si="2"/>
        <v>0</v>
      </c>
      <c r="E154" s="80"/>
      <c r="F154" s="81"/>
      <c r="G154" s="81"/>
    </row>
    <row r="155" spans="1:7">
      <c r="A155" s="78" t="s">
        <v>189</v>
      </c>
      <c r="B155" s="313"/>
      <c r="C155" s="79">
        <f t="shared" si="3"/>
        <v>0</v>
      </c>
      <c r="D155" s="80">
        <f t="shared" si="2"/>
        <v>0</v>
      </c>
      <c r="E155" s="80"/>
      <c r="F155" s="81"/>
      <c r="G155" s="81"/>
    </row>
    <row r="156" spans="1:7">
      <c r="A156" s="78" t="s">
        <v>190</v>
      </c>
      <c r="B156" s="313"/>
      <c r="C156" s="79">
        <f t="shared" si="3"/>
        <v>0</v>
      </c>
      <c r="D156" s="80">
        <f t="shared" si="2"/>
        <v>0</v>
      </c>
      <c r="E156" s="80"/>
      <c r="F156" s="81"/>
      <c r="G156" s="81"/>
    </row>
    <row r="157" spans="1:7">
      <c r="A157" s="78" t="s">
        <v>191</v>
      </c>
      <c r="B157" s="313"/>
      <c r="C157" s="79">
        <f t="shared" si="3"/>
        <v>0</v>
      </c>
      <c r="D157" s="80">
        <f t="shared" si="2"/>
        <v>0</v>
      </c>
      <c r="E157" s="80"/>
      <c r="F157" s="81"/>
      <c r="G157" s="81"/>
    </row>
    <row r="158" spans="1:7">
      <c r="A158" s="78" t="s">
        <v>192</v>
      </c>
      <c r="B158" s="313"/>
      <c r="C158" s="79">
        <f t="shared" si="3"/>
        <v>0</v>
      </c>
      <c r="D158" s="80">
        <f t="shared" si="2"/>
        <v>0</v>
      </c>
      <c r="E158" s="80"/>
      <c r="F158" s="81"/>
      <c r="G158" s="81"/>
    </row>
    <row r="159" spans="1:7">
      <c r="A159" s="78" t="s">
        <v>193</v>
      </c>
      <c r="B159" s="313"/>
      <c r="C159" s="79">
        <f t="shared" si="3"/>
        <v>0</v>
      </c>
      <c r="D159" s="80">
        <f t="shared" si="2"/>
        <v>0</v>
      </c>
      <c r="E159" s="80"/>
      <c r="F159" s="81"/>
      <c r="G159" s="81"/>
    </row>
    <row r="160" spans="1:7">
      <c r="A160" s="78" t="s">
        <v>194</v>
      </c>
      <c r="B160" s="313"/>
      <c r="C160" s="79">
        <f t="shared" si="3"/>
        <v>0</v>
      </c>
      <c r="D160" s="80">
        <f t="shared" si="2"/>
        <v>0</v>
      </c>
      <c r="E160" s="80"/>
      <c r="F160" s="81"/>
      <c r="G160" s="81"/>
    </row>
    <row r="161" spans="1:7">
      <c r="A161" s="78" t="s">
        <v>195</v>
      </c>
      <c r="B161" s="313"/>
      <c r="C161" s="79">
        <f t="shared" si="3"/>
        <v>0</v>
      </c>
      <c r="D161" s="80">
        <f t="shared" si="2"/>
        <v>0</v>
      </c>
      <c r="E161" s="80"/>
      <c r="F161" s="81"/>
      <c r="G161" s="81"/>
    </row>
    <row r="162" spans="1:7">
      <c r="A162" s="78" t="s">
        <v>196</v>
      </c>
      <c r="B162" s="313"/>
      <c r="C162" s="79">
        <f t="shared" si="3"/>
        <v>0</v>
      </c>
      <c r="D162" s="80">
        <f t="shared" si="2"/>
        <v>0</v>
      </c>
      <c r="E162" s="80"/>
      <c r="F162" s="81"/>
      <c r="G162" s="81"/>
    </row>
    <row r="163" spans="1:7">
      <c r="A163" s="78" t="s">
        <v>197</v>
      </c>
      <c r="B163" s="313"/>
      <c r="C163" s="79">
        <f t="shared" si="3"/>
        <v>0</v>
      </c>
      <c r="D163" s="80">
        <f t="shared" si="2"/>
        <v>0</v>
      </c>
      <c r="E163" s="80"/>
      <c r="F163" s="81"/>
      <c r="G163" s="81"/>
    </row>
    <row r="164" spans="1:7">
      <c r="A164" s="78" t="s">
        <v>198</v>
      </c>
      <c r="B164" s="313"/>
      <c r="C164" s="79">
        <f t="shared" si="3"/>
        <v>0</v>
      </c>
      <c r="D164" s="80">
        <f t="shared" si="2"/>
        <v>0</v>
      </c>
      <c r="E164" s="80"/>
      <c r="F164" s="81"/>
      <c r="G164" s="81"/>
    </row>
    <row r="165" spans="1:7">
      <c r="A165" s="78" t="s">
        <v>199</v>
      </c>
      <c r="B165" s="313"/>
      <c r="C165" s="79">
        <f t="shared" si="3"/>
        <v>0</v>
      </c>
      <c r="D165" s="80">
        <f t="shared" si="2"/>
        <v>0</v>
      </c>
      <c r="E165" s="80"/>
      <c r="F165" s="81"/>
      <c r="G165" s="81"/>
    </row>
    <row r="166" spans="1:7">
      <c r="A166" s="78" t="s">
        <v>200</v>
      </c>
      <c r="B166" s="313"/>
      <c r="C166" s="79">
        <f t="shared" si="3"/>
        <v>0</v>
      </c>
      <c r="D166" s="80">
        <f t="shared" si="2"/>
        <v>0</v>
      </c>
      <c r="E166" s="80"/>
      <c r="F166" s="81"/>
      <c r="G166" s="81"/>
    </row>
    <row r="167" spans="1:7">
      <c r="A167" s="78" t="s">
        <v>201</v>
      </c>
      <c r="B167" s="313"/>
      <c r="C167" s="79">
        <f t="shared" si="3"/>
        <v>0</v>
      </c>
      <c r="D167" s="80">
        <f t="shared" si="2"/>
        <v>0</v>
      </c>
      <c r="E167" s="80"/>
      <c r="F167" s="81"/>
      <c r="G167" s="81"/>
    </row>
    <row r="168" spans="1:7">
      <c r="A168" s="78" t="s">
        <v>202</v>
      </c>
      <c r="B168" s="313"/>
      <c r="C168" s="79">
        <f t="shared" si="3"/>
        <v>0</v>
      </c>
      <c r="D168" s="80">
        <f t="shared" si="2"/>
        <v>0</v>
      </c>
      <c r="E168" s="80"/>
      <c r="F168" s="81"/>
      <c r="G168" s="81"/>
    </row>
    <row r="169" spans="1:7">
      <c r="A169" s="78" t="s">
        <v>203</v>
      </c>
      <c r="B169" s="313"/>
      <c r="C169" s="79">
        <f t="shared" si="3"/>
        <v>0</v>
      </c>
      <c r="D169" s="80">
        <f t="shared" si="2"/>
        <v>0</v>
      </c>
      <c r="E169" s="80"/>
      <c r="F169" s="81"/>
      <c r="G169" s="81"/>
    </row>
    <row r="170" spans="1:7">
      <c r="A170" s="78" t="s">
        <v>204</v>
      </c>
      <c r="B170" s="313"/>
      <c r="C170" s="79">
        <f t="shared" si="3"/>
        <v>0</v>
      </c>
      <c r="D170" s="80">
        <f t="shared" si="2"/>
        <v>0</v>
      </c>
      <c r="E170" s="80"/>
      <c r="F170" s="81"/>
      <c r="G170" s="81"/>
    </row>
    <row r="171" spans="1:7">
      <c r="A171" s="78" t="s">
        <v>205</v>
      </c>
      <c r="B171" s="313"/>
      <c r="C171" s="79">
        <f t="shared" si="3"/>
        <v>0</v>
      </c>
      <c r="D171" s="80">
        <f t="shared" si="2"/>
        <v>0</v>
      </c>
      <c r="E171" s="80"/>
      <c r="F171" s="81"/>
      <c r="G171" s="81"/>
    </row>
    <row r="172" spans="1:7">
      <c r="A172" s="78" t="s">
        <v>206</v>
      </c>
      <c r="B172" s="313"/>
      <c r="C172" s="79">
        <f t="shared" si="3"/>
        <v>0</v>
      </c>
      <c r="D172" s="80">
        <f t="shared" si="2"/>
        <v>0</v>
      </c>
      <c r="E172" s="80"/>
      <c r="F172" s="81"/>
      <c r="G172" s="81"/>
    </row>
    <row r="173" spans="1:7">
      <c r="A173" s="78" t="s">
        <v>207</v>
      </c>
      <c r="B173" s="313"/>
      <c r="C173" s="79">
        <f t="shared" si="3"/>
        <v>0</v>
      </c>
      <c r="D173" s="80">
        <f t="shared" si="2"/>
        <v>0</v>
      </c>
      <c r="E173" s="80"/>
      <c r="F173" s="81"/>
      <c r="G173" s="81"/>
    </row>
    <row r="174" spans="1:7">
      <c r="A174" s="78" t="s">
        <v>208</v>
      </c>
      <c r="B174" s="313"/>
      <c r="C174" s="79">
        <f t="shared" si="3"/>
        <v>0</v>
      </c>
      <c r="D174" s="80">
        <f t="shared" si="2"/>
        <v>0</v>
      </c>
      <c r="E174" s="80"/>
      <c r="F174" s="81"/>
      <c r="G174" s="81"/>
    </row>
    <row r="175" spans="1:7">
      <c r="A175" s="78" t="s">
        <v>209</v>
      </c>
      <c r="B175" s="313"/>
      <c r="C175" s="79">
        <f t="shared" si="3"/>
        <v>0</v>
      </c>
      <c r="D175" s="80">
        <f t="shared" si="2"/>
        <v>0</v>
      </c>
      <c r="E175" s="80"/>
      <c r="F175" s="81"/>
      <c r="G175" s="81"/>
    </row>
    <row r="176" spans="1:7">
      <c r="A176" s="78" t="s">
        <v>210</v>
      </c>
      <c r="B176" s="313"/>
      <c r="C176" s="79">
        <f t="shared" si="3"/>
        <v>0</v>
      </c>
      <c r="D176" s="80">
        <f t="shared" si="2"/>
        <v>0</v>
      </c>
      <c r="E176" s="80"/>
      <c r="F176" s="81"/>
      <c r="G176" s="81"/>
    </row>
    <row r="177" spans="1:7">
      <c r="A177" s="78" t="s">
        <v>211</v>
      </c>
      <c r="B177" s="313"/>
      <c r="C177" s="79">
        <f t="shared" si="3"/>
        <v>0</v>
      </c>
      <c r="D177" s="80">
        <f t="shared" si="2"/>
        <v>0</v>
      </c>
      <c r="E177" s="80"/>
      <c r="F177" s="81"/>
      <c r="G177" s="81"/>
    </row>
    <row r="178" spans="1:7">
      <c r="A178" s="78" t="s">
        <v>212</v>
      </c>
      <c r="B178" s="313"/>
      <c r="C178" s="79">
        <f t="shared" si="3"/>
        <v>0</v>
      </c>
      <c r="D178" s="80">
        <f t="shared" si="2"/>
        <v>0</v>
      </c>
      <c r="E178" s="80"/>
      <c r="F178" s="81"/>
      <c r="G178" s="81"/>
    </row>
    <row r="179" spans="1:7">
      <c r="A179" s="78" t="s">
        <v>213</v>
      </c>
      <c r="B179" s="313"/>
      <c r="C179" s="79">
        <f t="shared" si="3"/>
        <v>0</v>
      </c>
      <c r="D179" s="80">
        <f t="shared" si="2"/>
        <v>0</v>
      </c>
      <c r="E179" s="80"/>
      <c r="F179" s="81"/>
      <c r="G179" s="81"/>
    </row>
    <row r="180" spans="1:7">
      <c r="A180" s="78" t="s">
        <v>214</v>
      </c>
      <c r="B180" s="313"/>
      <c r="C180" s="79">
        <f t="shared" si="3"/>
        <v>0</v>
      </c>
      <c r="D180" s="80">
        <f t="shared" si="2"/>
        <v>0</v>
      </c>
      <c r="E180" s="80"/>
      <c r="F180" s="81"/>
      <c r="G180" s="81"/>
    </row>
    <row r="181" spans="1:7">
      <c r="A181" s="78" t="s">
        <v>215</v>
      </c>
      <c r="B181" s="313"/>
      <c r="C181" s="79">
        <f t="shared" si="3"/>
        <v>0</v>
      </c>
      <c r="D181" s="80">
        <f t="shared" si="2"/>
        <v>0</v>
      </c>
      <c r="E181" s="80"/>
      <c r="F181" s="81"/>
      <c r="G181" s="81"/>
    </row>
    <row r="182" spans="1:7">
      <c r="A182" s="78" t="s">
        <v>216</v>
      </c>
      <c r="B182" s="313"/>
      <c r="C182" s="79">
        <f t="shared" si="3"/>
        <v>0</v>
      </c>
      <c r="D182" s="80">
        <f t="shared" si="2"/>
        <v>0</v>
      </c>
      <c r="E182" s="80"/>
      <c r="F182" s="81"/>
      <c r="G182" s="81"/>
    </row>
    <row r="183" spans="1:7">
      <c r="A183" s="78" t="s">
        <v>217</v>
      </c>
      <c r="B183" s="313"/>
      <c r="C183" s="79">
        <f t="shared" si="3"/>
        <v>0</v>
      </c>
      <c r="D183" s="80">
        <f t="shared" si="2"/>
        <v>0</v>
      </c>
      <c r="E183" s="80"/>
      <c r="F183" s="81"/>
      <c r="G183" s="81"/>
    </row>
    <row r="184" spans="1:7">
      <c r="A184" s="78" t="s">
        <v>218</v>
      </c>
      <c r="B184" s="313"/>
      <c r="C184" s="79">
        <f t="shared" si="3"/>
        <v>0</v>
      </c>
      <c r="D184" s="80">
        <f t="shared" si="2"/>
        <v>0</v>
      </c>
      <c r="E184" s="80"/>
      <c r="F184" s="81"/>
      <c r="G184" s="81"/>
    </row>
    <row r="185" spans="1:7">
      <c r="A185" s="78" t="s">
        <v>219</v>
      </c>
      <c r="B185" s="313"/>
      <c r="C185" s="79">
        <f t="shared" si="3"/>
        <v>0</v>
      </c>
      <c r="D185" s="80">
        <f t="shared" si="2"/>
        <v>0</v>
      </c>
      <c r="E185" s="80"/>
      <c r="F185" s="81"/>
      <c r="G185" s="81"/>
    </row>
    <row r="186" spans="1:7">
      <c r="A186" s="78" t="s">
        <v>220</v>
      </c>
      <c r="B186" s="313"/>
      <c r="C186" s="79">
        <f t="shared" si="3"/>
        <v>0</v>
      </c>
      <c r="D186" s="80">
        <f t="shared" si="2"/>
        <v>0</v>
      </c>
      <c r="E186" s="80"/>
      <c r="F186" s="81"/>
      <c r="G186" s="81"/>
    </row>
    <row r="187" spans="1:7">
      <c r="A187" s="78" t="s">
        <v>221</v>
      </c>
      <c r="B187" s="138"/>
      <c r="C187" s="79">
        <f t="shared" si="3"/>
        <v>0</v>
      </c>
      <c r="D187" s="80">
        <f t="shared" si="2"/>
        <v>0</v>
      </c>
      <c r="E187" s="80"/>
      <c r="F187" s="81"/>
      <c r="G187" s="81"/>
    </row>
    <row r="188" spans="1:7">
      <c r="A188" s="78" t="s">
        <v>221</v>
      </c>
      <c r="B188" s="78" t="s">
        <v>361</v>
      </c>
      <c r="C188" s="79">
        <f t="shared" si="3"/>
        <v>0</v>
      </c>
      <c r="D188" s="117"/>
      <c r="E188" s="83"/>
      <c r="F188" s="84"/>
      <c r="G188" s="84"/>
    </row>
    <row r="189" ht="15.75" spans="1:7">
      <c r="A189" s="78"/>
      <c r="B189" s="78"/>
      <c r="C189" s="116"/>
      <c r="D189" s="117"/>
      <c r="E189" s="85"/>
      <c r="F189" s="86"/>
      <c r="G189" s="86"/>
    </row>
    <row r="190" ht="48.75" spans="1:7">
      <c r="A190" s="87" t="s">
        <v>233</v>
      </c>
      <c r="B190" s="78">
        <v>0.9</v>
      </c>
      <c r="C190" s="116"/>
      <c r="D190" s="117"/>
      <c r="E190" s="127"/>
      <c r="F190" s="128"/>
      <c r="G190" s="129"/>
    </row>
    <row r="191" ht="48.75" spans="1:7">
      <c r="A191" s="87" t="s">
        <v>224</v>
      </c>
      <c r="B191" s="78">
        <v>0.44</v>
      </c>
      <c r="C191" s="116"/>
      <c r="D191" s="83"/>
      <c r="E191" s="83"/>
      <c r="F191" s="84"/>
      <c r="G191" s="84"/>
    </row>
    <row r="192" ht="84.75" spans="1:7">
      <c r="A192" s="106" t="s">
        <v>225</v>
      </c>
      <c r="B192" s="78">
        <v>0.5</v>
      </c>
      <c r="C192" s="116"/>
      <c r="D192" s="83"/>
      <c r="E192" s="83">
        <f>0.6*E190</f>
        <v>0</v>
      </c>
      <c r="F192" s="84">
        <f>0.6*F190</f>
        <v>0</v>
      </c>
      <c r="G192" s="84"/>
    </row>
    <row r="195" spans="1:3">
      <c r="A195" s="531" t="s">
        <v>226</v>
      </c>
      <c r="B195" s="95" t="e">
        <f>AVERAGE(B143:B182)</f>
        <v>#DIV/0!</v>
      </c>
      <c r="C195" s="95"/>
    </row>
    <row r="196" spans="1:3">
      <c r="A196" s="531" t="s">
        <v>227</v>
      </c>
      <c r="B196" s="96" t="e">
        <f>AVERAGE(B148:B177)</f>
        <v>#DIV/0!</v>
      </c>
      <c r="C196" s="96"/>
    </row>
    <row r="197" spans="1:3">
      <c r="A197" s="531" t="s">
        <v>228</v>
      </c>
      <c r="B197" s="96" t="e">
        <f>AVERAGE(B154:B172)</f>
        <v>#DIV/0!</v>
      </c>
      <c r="C197" s="96"/>
    </row>
    <row r="200" customHeight="1" spans="1:7">
      <c r="A200" s="83" t="s">
        <v>165</v>
      </c>
      <c r="B200" s="311" t="s">
        <v>234</v>
      </c>
      <c r="C200" s="311"/>
      <c r="D200" s="311"/>
      <c r="E200" s="86">
        <f>(1-E255)^(1/3)-1</f>
        <v>-0.0335627010196052</v>
      </c>
      <c r="F200" s="86">
        <f>(1-F255)^(1/3)-1</f>
        <v>-0.0412325485709955</v>
      </c>
      <c r="G200" s="86"/>
    </row>
    <row r="201" ht="72" spans="1:7">
      <c r="A201" s="83"/>
      <c r="B201" s="83" t="s">
        <v>167</v>
      </c>
      <c r="C201" s="83"/>
      <c r="D201" s="83" t="s">
        <v>168</v>
      </c>
      <c r="E201" s="83" t="s">
        <v>169</v>
      </c>
      <c r="F201" s="84" t="s">
        <v>169</v>
      </c>
      <c r="G201" s="84"/>
    </row>
    <row r="202" ht="24" spans="1:7">
      <c r="A202" s="83"/>
      <c r="B202" s="83" t="s">
        <v>235</v>
      </c>
      <c r="C202" s="83"/>
      <c r="D202" s="83" t="s">
        <v>171</v>
      </c>
      <c r="E202" s="534" t="s">
        <v>227</v>
      </c>
      <c r="F202" s="84"/>
      <c r="G202" s="267"/>
    </row>
    <row r="203" spans="1:7">
      <c r="A203" s="75">
        <v>1</v>
      </c>
      <c r="B203" s="76">
        <v>2</v>
      </c>
      <c r="C203" s="76"/>
      <c r="D203" s="76">
        <v>3</v>
      </c>
      <c r="E203" s="76">
        <v>4</v>
      </c>
      <c r="F203" s="77">
        <v>5</v>
      </c>
      <c r="G203" s="77"/>
    </row>
    <row r="204" spans="1:7">
      <c r="A204" s="530" t="s">
        <v>172</v>
      </c>
      <c r="B204" s="93">
        <v>0.002</v>
      </c>
      <c r="C204" s="89">
        <v>0</v>
      </c>
      <c r="D204" s="80">
        <v>0</v>
      </c>
      <c r="E204" s="80">
        <v>0</v>
      </c>
      <c r="F204" s="81">
        <v>0</v>
      </c>
      <c r="G204" s="81">
        <v>0</v>
      </c>
    </row>
    <row r="205" spans="1:7">
      <c r="A205" s="530" t="s">
        <v>173</v>
      </c>
      <c r="B205" s="93">
        <v>0.004</v>
      </c>
      <c r="C205" s="79">
        <f>B204</f>
        <v>0.002</v>
      </c>
      <c r="D205" s="80">
        <v>0</v>
      </c>
      <c r="E205" s="80">
        <v>0</v>
      </c>
      <c r="F205" s="81">
        <v>0</v>
      </c>
      <c r="G205" s="81">
        <v>0</v>
      </c>
    </row>
    <row r="206" spans="1:7">
      <c r="A206" s="530" t="s">
        <v>174</v>
      </c>
      <c r="B206" s="93">
        <v>0.004</v>
      </c>
      <c r="C206" s="79">
        <f t="shared" ref="C206:C254" si="4">B205</f>
        <v>0.004</v>
      </c>
      <c r="D206" s="80">
        <v>0</v>
      </c>
      <c r="E206" s="80">
        <v>0</v>
      </c>
      <c r="F206" s="81">
        <v>0</v>
      </c>
      <c r="G206" s="81">
        <v>0</v>
      </c>
    </row>
    <row r="207" spans="1:7">
      <c r="A207" s="530" t="s">
        <v>175</v>
      </c>
      <c r="B207" s="93">
        <v>0.005</v>
      </c>
      <c r="C207" s="79">
        <f t="shared" si="4"/>
        <v>0.004</v>
      </c>
      <c r="D207" s="80">
        <v>0</v>
      </c>
      <c r="E207" s="80">
        <v>0</v>
      </c>
      <c r="F207" s="81">
        <v>0</v>
      </c>
      <c r="G207" s="81">
        <v>0</v>
      </c>
    </row>
    <row r="208" spans="1:7">
      <c r="A208" s="530" t="s">
        <v>176</v>
      </c>
      <c r="B208" s="93">
        <v>0.006</v>
      </c>
      <c r="C208" s="79">
        <f t="shared" si="4"/>
        <v>0.005</v>
      </c>
      <c r="D208" s="80">
        <v>0</v>
      </c>
      <c r="E208" s="80">
        <v>0</v>
      </c>
      <c r="F208" s="81">
        <v>0</v>
      </c>
      <c r="G208" s="81">
        <v>0</v>
      </c>
    </row>
    <row r="209" spans="1:7">
      <c r="A209" s="530" t="s">
        <v>177</v>
      </c>
      <c r="B209" s="93">
        <v>0.007</v>
      </c>
      <c r="C209" s="79">
        <f t="shared" si="4"/>
        <v>0.006</v>
      </c>
      <c r="D209" s="80">
        <v>0</v>
      </c>
      <c r="E209" s="80">
        <v>0</v>
      </c>
      <c r="F209" s="81">
        <v>0</v>
      </c>
      <c r="G209" s="81">
        <v>0</v>
      </c>
    </row>
    <row r="210" spans="1:7">
      <c r="A210" s="530" t="s">
        <v>178</v>
      </c>
      <c r="B210" s="93">
        <v>0.007</v>
      </c>
      <c r="C210" s="79">
        <f t="shared" si="4"/>
        <v>0.007</v>
      </c>
      <c r="D210" s="80">
        <v>0</v>
      </c>
      <c r="E210" s="80">
        <v>0</v>
      </c>
      <c r="F210" s="81">
        <v>0</v>
      </c>
      <c r="G210" s="81">
        <v>0</v>
      </c>
    </row>
    <row r="211" spans="1:7">
      <c r="A211" s="78" t="s">
        <v>179</v>
      </c>
      <c r="B211" s="93">
        <v>0.009</v>
      </c>
      <c r="C211" s="79">
        <f t="shared" si="4"/>
        <v>0.007</v>
      </c>
      <c r="D211" s="80">
        <v>0</v>
      </c>
      <c r="E211" s="80">
        <v>0</v>
      </c>
      <c r="F211" s="81">
        <v>0</v>
      </c>
      <c r="G211" s="81">
        <v>0</v>
      </c>
    </row>
    <row r="212" spans="1:7">
      <c r="A212" s="78" t="s">
        <v>180</v>
      </c>
      <c r="B212" s="119">
        <v>0.01</v>
      </c>
      <c r="C212" s="79">
        <f t="shared" si="4"/>
        <v>0.009</v>
      </c>
      <c r="D212" s="80">
        <v>0</v>
      </c>
      <c r="E212" s="80">
        <v>0</v>
      </c>
      <c r="F212" s="81">
        <v>0</v>
      </c>
      <c r="G212" s="81">
        <v>0</v>
      </c>
    </row>
    <row r="213" spans="1:7">
      <c r="A213" s="78" t="s">
        <v>181</v>
      </c>
      <c r="B213" s="93">
        <v>0.011</v>
      </c>
      <c r="C213" s="79">
        <f t="shared" si="4"/>
        <v>0.01</v>
      </c>
      <c r="D213" s="80">
        <v>0</v>
      </c>
      <c r="E213" s="80">
        <v>0</v>
      </c>
      <c r="F213" s="81">
        <v>0</v>
      </c>
      <c r="G213" s="81">
        <v>0</v>
      </c>
    </row>
    <row r="214" spans="1:7">
      <c r="A214" s="78" t="s">
        <v>182</v>
      </c>
      <c r="B214" s="119">
        <v>0.012</v>
      </c>
      <c r="C214" s="79">
        <f t="shared" si="4"/>
        <v>0.011</v>
      </c>
      <c r="D214" s="80">
        <v>0</v>
      </c>
      <c r="E214" s="80">
        <v>0</v>
      </c>
      <c r="F214" s="81">
        <v>0</v>
      </c>
      <c r="G214" s="81">
        <v>0</v>
      </c>
    </row>
    <row r="215" spans="1:7">
      <c r="A215" s="78" t="s">
        <v>183</v>
      </c>
      <c r="B215" s="93">
        <v>0.013</v>
      </c>
      <c r="C215" s="79">
        <f t="shared" si="4"/>
        <v>0.012</v>
      </c>
      <c r="D215" s="80">
        <v>0</v>
      </c>
      <c r="E215" s="80">
        <v>0</v>
      </c>
      <c r="F215" s="81">
        <v>0</v>
      </c>
      <c r="G215" s="81">
        <v>0</v>
      </c>
    </row>
    <row r="216" spans="1:7">
      <c r="A216" s="78" t="s">
        <v>184</v>
      </c>
      <c r="B216" s="93">
        <v>0.014</v>
      </c>
      <c r="C216" s="79">
        <f t="shared" si="4"/>
        <v>0.013</v>
      </c>
      <c r="D216" s="80">
        <v>0</v>
      </c>
      <c r="E216" s="80">
        <v>0</v>
      </c>
      <c r="F216" s="81">
        <v>0</v>
      </c>
      <c r="G216" s="81">
        <v>0</v>
      </c>
    </row>
    <row r="217" spans="1:7">
      <c r="A217" s="78" t="s">
        <v>185</v>
      </c>
      <c r="B217" s="93">
        <v>0.015</v>
      </c>
      <c r="C217" s="79">
        <f t="shared" si="4"/>
        <v>0.014</v>
      </c>
      <c r="D217" s="80">
        <v>0</v>
      </c>
      <c r="E217" s="80">
        <v>0</v>
      </c>
      <c r="F217" s="81">
        <v>0</v>
      </c>
      <c r="G217" s="81">
        <v>0</v>
      </c>
    </row>
    <row r="218" spans="1:7">
      <c r="A218" s="78" t="s">
        <v>186</v>
      </c>
      <c r="B218" s="93">
        <v>0.017</v>
      </c>
      <c r="C218" s="79">
        <f t="shared" si="4"/>
        <v>0.015</v>
      </c>
      <c r="D218" s="80">
        <v>0</v>
      </c>
      <c r="E218" s="80">
        <v>0</v>
      </c>
      <c r="F218" s="81">
        <v>0</v>
      </c>
      <c r="G218" s="81">
        <v>0</v>
      </c>
    </row>
    <row r="219" spans="1:7">
      <c r="A219" s="78" t="s">
        <v>187</v>
      </c>
      <c r="B219" s="93">
        <v>0.018</v>
      </c>
      <c r="C219" s="79">
        <f t="shared" si="4"/>
        <v>0.017</v>
      </c>
      <c r="D219" s="80">
        <v>0</v>
      </c>
      <c r="E219" s="80">
        <v>0</v>
      </c>
      <c r="F219" s="81">
        <v>0</v>
      </c>
      <c r="G219" s="81">
        <v>0</v>
      </c>
    </row>
    <row r="220" spans="1:7">
      <c r="A220" s="78" t="s">
        <v>188</v>
      </c>
      <c r="B220" s="119">
        <v>0.02</v>
      </c>
      <c r="C220" s="79">
        <f t="shared" si="4"/>
        <v>0.018</v>
      </c>
      <c r="D220" s="80">
        <v>0</v>
      </c>
      <c r="E220" s="80">
        <v>0</v>
      </c>
      <c r="F220" s="81">
        <v>0</v>
      </c>
      <c r="G220" s="81">
        <v>0</v>
      </c>
    </row>
    <row r="221" spans="1:7">
      <c r="A221" s="78" t="s">
        <v>189</v>
      </c>
      <c r="B221" s="93">
        <v>0.021</v>
      </c>
      <c r="C221" s="79">
        <f t="shared" si="4"/>
        <v>0.02</v>
      </c>
      <c r="D221" s="80">
        <v>0</v>
      </c>
      <c r="E221" s="80">
        <v>0</v>
      </c>
      <c r="F221" s="81">
        <v>0</v>
      </c>
      <c r="G221" s="81">
        <v>0</v>
      </c>
    </row>
    <row r="222" spans="1:7">
      <c r="A222" s="78" t="s">
        <v>190</v>
      </c>
      <c r="B222" s="93">
        <v>0.023</v>
      </c>
      <c r="C222" s="79">
        <f t="shared" si="4"/>
        <v>0.021</v>
      </c>
      <c r="D222" s="80">
        <v>0</v>
      </c>
      <c r="E222" s="80">
        <v>0</v>
      </c>
      <c r="F222" s="81">
        <v>0</v>
      </c>
      <c r="G222" s="81">
        <v>0</v>
      </c>
    </row>
    <row r="223" spans="1:7">
      <c r="A223" s="78" t="s">
        <v>191</v>
      </c>
      <c r="B223" s="93">
        <v>0.026</v>
      </c>
      <c r="C223" s="79">
        <f t="shared" si="4"/>
        <v>0.023</v>
      </c>
      <c r="D223" s="80">
        <v>0</v>
      </c>
      <c r="E223" s="80">
        <v>0</v>
      </c>
      <c r="F223" s="81">
        <v>0</v>
      </c>
      <c r="G223" s="81">
        <v>0</v>
      </c>
    </row>
    <row r="224" spans="1:7">
      <c r="A224" s="78" t="s">
        <v>192</v>
      </c>
      <c r="B224" s="93">
        <v>0.028</v>
      </c>
      <c r="C224" s="79">
        <f t="shared" si="4"/>
        <v>0.026</v>
      </c>
      <c r="D224" s="80">
        <v>0</v>
      </c>
      <c r="E224" s="80">
        <v>0</v>
      </c>
      <c r="F224" s="81">
        <v>0</v>
      </c>
      <c r="G224" s="81">
        <v>0</v>
      </c>
    </row>
    <row r="225" spans="1:7">
      <c r="A225" s="78" t="s">
        <v>193</v>
      </c>
      <c r="B225" s="93">
        <v>0.031</v>
      </c>
      <c r="C225" s="79">
        <f t="shared" si="4"/>
        <v>0.028</v>
      </c>
      <c r="D225" s="80">
        <v>0</v>
      </c>
      <c r="E225" s="80">
        <v>0</v>
      </c>
      <c r="F225" s="81">
        <v>0</v>
      </c>
      <c r="G225" s="81">
        <v>0</v>
      </c>
    </row>
    <row r="226" spans="1:7">
      <c r="A226" s="78" t="s">
        <v>194</v>
      </c>
      <c r="B226" s="93">
        <v>0.034</v>
      </c>
      <c r="C226" s="79">
        <f t="shared" si="4"/>
        <v>0.031</v>
      </c>
      <c r="D226" s="80">
        <v>0</v>
      </c>
      <c r="E226" s="80">
        <v>0</v>
      </c>
      <c r="F226" s="81">
        <v>0</v>
      </c>
      <c r="G226" s="81">
        <v>0</v>
      </c>
    </row>
    <row r="227" spans="1:7">
      <c r="A227" s="78" t="s">
        <v>195</v>
      </c>
      <c r="B227" s="119">
        <v>0.039</v>
      </c>
      <c r="C227" s="79">
        <f t="shared" si="4"/>
        <v>0.034</v>
      </c>
      <c r="D227" s="80">
        <v>0</v>
      </c>
      <c r="E227" s="80">
        <v>0</v>
      </c>
      <c r="F227" s="81">
        <v>0</v>
      </c>
      <c r="G227" s="81">
        <v>0</v>
      </c>
    </row>
    <row r="228" spans="1:7">
      <c r="A228" s="78" t="s">
        <v>196</v>
      </c>
      <c r="B228" s="93">
        <v>0.045</v>
      </c>
      <c r="C228" s="79">
        <f t="shared" si="4"/>
        <v>0.039</v>
      </c>
      <c r="D228" s="80">
        <v>0</v>
      </c>
      <c r="E228" s="80">
        <v>0</v>
      </c>
      <c r="F228" s="81">
        <v>0</v>
      </c>
      <c r="G228" s="81">
        <v>0</v>
      </c>
    </row>
    <row r="229" spans="1:7">
      <c r="A229" s="78" t="s">
        <v>197</v>
      </c>
      <c r="B229" s="93">
        <v>0.054</v>
      </c>
      <c r="C229" s="79">
        <f t="shared" si="4"/>
        <v>0.045</v>
      </c>
      <c r="D229" s="80">
        <v>0</v>
      </c>
      <c r="E229" s="80">
        <v>0</v>
      </c>
      <c r="F229" s="81">
        <v>0</v>
      </c>
      <c r="G229" s="81">
        <v>0</v>
      </c>
    </row>
    <row r="230" spans="1:7">
      <c r="A230" s="78" t="s">
        <v>198</v>
      </c>
      <c r="B230" s="119">
        <v>0.06</v>
      </c>
      <c r="C230" s="79">
        <f t="shared" si="4"/>
        <v>0.054</v>
      </c>
      <c r="D230" s="80">
        <v>0</v>
      </c>
      <c r="E230" s="80">
        <v>0</v>
      </c>
      <c r="F230" s="81">
        <v>0</v>
      </c>
      <c r="G230" s="81">
        <v>0</v>
      </c>
    </row>
    <row r="231" spans="1:7">
      <c r="A231" s="78" t="s">
        <v>199</v>
      </c>
      <c r="B231" s="93">
        <v>0.073</v>
      </c>
      <c r="C231" s="79">
        <f t="shared" si="4"/>
        <v>0.06</v>
      </c>
      <c r="D231" s="80">
        <v>0</v>
      </c>
      <c r="E231" s="80">
        <v>0</v>
      </c>
      <c r="F231" s="81">
        <v>0</v>
      </c>
      <c r="G231" s="81">
        <v>0</v>
      </c>
    </row>
    <row r="232" spans="1:7">
      <c r="A232" s="78" t="s">
        <v>200</v>
      </c>
      <c r="B232" s="103">
        <v>0.1</v>
      </c>
      <c r="C232" s="79">
        <f t="shared" si="4"/>
        <v>0.073</v>
      </c>
      <c r="D232" s="80">
        <v>0</v>
      </c>
      <c r="E232" s="80">
        <v>0</v>
      </c>
      <c r="F232" s="81">
        <v>0</v>
      </c>
      <c r="G232" s="81">
        <v>0</v>
      </c>
    </row>
    <row r="233" spans="1:7">
      <c r="A233" s="78" t="s">
        <v>201</v>
      </c>
      <c r="B233" s="93">
        <v>0.17</v>
      </c>
      <c r="C233" s="79">
        <f t="shared" si="4"/>
        <v>0.1</v>
      </c>
      <c r="D233" s="80">
        <v>0</v>
      </c>
      <c r="E233" s="80">
        <v>0</v>
      </c>
      <c r="F233" s="81">
        <v>0</v>
      </c>
      <c r="G233" s="81">
        <v>0</v>
      </c>
    </row>
    <row r="234" spans="1:7">
      <c r="A234" s="78" t="s">
        <v>202</v>
      </c>
      <c r="B234" s="93">
        <v>0.31</v>
      </c>
      <c r="C234" s="79">
        <f t="shared" si="4"/>
        <v>0.17</v>
      </c>
      <c r="D234" s="80">
        <v>0</v>
      </c>
      <c r="E234" s="80">
        <v>0</v>
      </c>
      <c r="F234" s="81">
        <v>0.00843225806451613</v>
      </c>
      <c r="G234" s="81">
        <v>0</v>
      </c>
    </row>
    <row r="235" spans="1:7">
      <c r="A235" s="78" t="s">
        <v>203</v>
      </c>
      <c r="B235" s="93">
        <v>0.49</v>
      </c>
      <c r="C235" s="79">
        <f t="shared" si="4"/>
        <v>0.31</v>
      </c>
      <c r="D235" s="80">
        <v>0</v>
      </c>
      <c r="E235" s="80">
        <v>0</v>
      </c>
      <c r="F235" s="81">
        <v>0.0524163265306122</v>
      </c>
      <c r="G235" s="81">
        <v>0</v>
      </c>
    </row>
    <row r="236" spans="1:7">
      <c r="A236" s="78" t="s">
        <v>204</v>
      </c>
      <c r="B236" s="103">
        <v>0.8</v>
      </c>
      <c r="C236" s="79">
        <f t="shared" si="4"/>
        <v>0.49</v>
      </c>
      <c r="D236" s="80">
        <v>0.37286875</v>
      </c>
      <c r="E236" s="80">
        <v>0.037286875</v>
      </c>
      <c r="F236" s="81">
        <v>0.187105</v>
      </c>
      <c r="G236" s="81">
        <v>0</v>
      </c>
    </row>
    <row r="237" spans="1:7">
      <c r="A237" s="78" t="s">
        <v>205</v>
      </c>
      <c r="B237" s="93">
        <v>0.95</v>
      </c>
      <c r="C237" s="79">
        <f t="shared" si="4"/>
        <v>0.8</v>
      </c>
      <c r="D237" s="80">
        <v>0.47188947368421</v>
      </c>
      <c r="E237" s="80">
        <v>0.0831336842105262</v>
      </c>
      <c r="F237" s="81">
        <v>0.22072</v>
      </c>
      <c r="G237" s="81">
        <v>0</v>
      </c>
    </row>
    <row r="238" spans="1:7">
      <c r="A238" s="78" t="s">
        <v>206</v>
      </c>
      <c r="B238" s="103">
        <v>1.1</v>
      </c>
      <c r="C238" s="79">
        <f t="shared" si="4"/>
        <v>0.95</v>
      </c>
      <c r="D238" s="80">
        <v>0.543904545454545</v>
      </c>
      <c r="E238" s="80">
        <v>0.126342727272727</v>
      </c>
      <c r="F238" s="81">
        <v>0.245167272727273</v>
      </c>
      <c r="G238" s="81">
        <v>0</v>
      </c>
    </row>
    <row r="239" spans="1:7">
      <c r="A239" s="78" t="s">
        <v>207</v>
      </c>
      <c r="B239" s="93">
        <v>1.45</v>
      </c>
      <c r="C239" s="79">
        <f t="shared" si="4"/>
        <v>1.1</v>
      </c>
      <c r="D239" s="80">
        <v>0.653996551724138</v>
      </c>
      <c r="E239" s="80">
        <v>0.192397931034483</v>
      </c>
      <c r="F239" s="81">
        <v>0.282540689655172</v>
      </c>
      <c r="G239" s="81">
        <v>0.0172413793103448</v>
      </c>
    </row>
    <row r="240" spans="1:7">
      <c r="A240" s="78" t="s">
        <v>208</v>
      </c>
      <c r="B240" s="93">
        <v>1.69</v>
      </c>
      <c r="C240" s="79">
        <f t="shared" si="4"/>
        <v>1.45</v>
      </c>
      <c r="D240" s="80">
        <v>0.703133136094675</v>
      </c>
      <c r="E240" s="80">
        <v>0.221879881656805</v>
      </c>
      <c r="F240" s="81">
        <v>0.299221301775148</v>
      </c>
      <c r="G240" s="81">
        <v>0.0289940828402367</v>
      </c>
    </row>
    <row r="241" spans="1:7">
      <c r="A241" s="78" t="s">
        <v>209</v>
      </c>
      <c r="B241" s="93">
        <v>1.91</v>
      </c>
      <c r="C241" s="79">
        <f t="shared" si="4"/>
        <v>1.69</v>
      </c>
      <c r="D241" s="80">
        <v>0.73732722513089</v>
      </c>
      <c r="E241" s="80">
        <v>0.242396335078534</v>
      </c>
      <c r="F241" s="81">
        <v>0.310829319371728</v>
      </c>
      <c r="G241" s="81">
        <v>0.0371727748691099</v>
      </c>
    </row>
    <row r="242" spans="1:7">
      <c r="A242" s="78" t="s">
        <v>210</v>
      </c>
      <c r="B242" s="93">
        <v>2.25</v>
      </c>
      <c r="C242" s="79">
        <f t="shared" si="4"/>
        <v>1.91</v>
      </c>
      <c r="D242" s="80">
        <v>0.77702</v>
      </c>
      <c r="E242" s="80">
        <v>0.266212</v>
      </c>
      <c r="F242" s="81">
        <v>0.324304</v>
      </c>
      <c r="G242" s="81">
        <v>0.08</v>
      </c>
    </row>
    <row r="243" spans="1:7">
      <c r="A243" s="78" t="s">
        <v>211</v>
      </c>
      <c r="B243" s="93">
        <v>2.43</v>
      </c>
      <c r="C243" s="79">
        <f t="shared" si="4"/>
        <v>2.25</v>
      </c>
      <c r="D243" s="80">
        <v>0.793537037037037</v>
      </c>
      <c r="E243" s="80">
        <v>0.276122222222222</v>
      </c>
      <c r="F243" s="81">
        <v>0.329911111111111</v>
      </c>
      <c r="G243" s="81">
        <v>0.103703703703704</v>
      </c>
    </row>
    <row r="244" spans="1:7">
      <c r="A244" s="78" t="s">
        <v>212</v>
      </c>
      <c r="B244" s="93">
        <v>2.69</v>
      </c>
      <c r="C244" s="79">
        <f t="shared" si="4"/>
        <v>2.43</v>
      </c>
      <c r="D244" s="80">
        <v>0.813492565055762</v>
      </c>
      <c r="E244" s="80">
        <v>0.288095539033457</v>
      </c>
      <c r="F244" s="81">
        <v>0.336685501858736</v>
      </c>
      <c r="G244" s="81">
        <v>0.132342007434944</v>
      </c>
    </row>
    <row r="245" spans="1:7">
      <c r="A245" s="78" t="s">
        <v>213</v>
      </c>
      <c r="B245" s="103">
        <v>3.1</v>
      </c>
      <c r="C245" s="79">
        <f t="shared" si="4"/>
        <v>2.69</v>
      </c>
      <c r="D245" s="80">
        <v>0.838159677419355</v>
      </c>
      <c r="E245" s="80">
        <v>0.302895806451613</v>
      </c>
      <c r="F245" s="81">
        <v>0.34505935483871</v>
      </c>
      <c r="G245" s="81">
        <v>0.167741935483871</v>
      </c>
    </row>
    <row r="246" spans="1:7">
      <c r="A246" s="78" t="s">
        <v>214</v>
      </c>
      <c r="B246" s="103">
        <v>3.6</v>
      </c>
      <c r="C246" s="79">
        <f t="shared" si="4"/>
        <v>3.1</v>
      </c>
      <c r="D246" s="80">
        <v>0.8606375</v>
      </c>
      <c r="E246" s="80">
        <v>0.3163825</v>
      </c>
      <c r="F246" s="81">
        <v>0.35269</v>
      </c>
      <c r="G246" s="81">
        <v>0.2</v>
      </c>
    </row>
    <row r="247" spans="1:7">
      <c r="A247" s="78" t="s">
        <v>215</v>
      </c>
      <c r="B247" s="93">
        <v>4.42</v>
      </c>
      <c r="C247" s="79">
        <f t="shared" si="4"/>
        <v>3.6</v>
      </c>
      <c r="D247" s="80">
        <v>0.886492081447964</v>
      </c>
      <c r="E247" s="80">
        <v>0.331895248868778</v>
      </c>
      <c r="F247" s="81">
        <v>0.361466968325792</v>
      </c>
      <c r="G247" s="81">
        <v>0.23710407239819</v>
      </c>
    </row>
    <row r="248" spans="1:7">
      <c r="A248" s="78" t="s">
        <v>216</v>
      </c>
      <c r="B248" s="103">
        <v>5.4</v>
      </c>
      <c r="C248" s="79">
        <f t="shared" si="4"/>
        <v>4.42</v>
      </c>
      <c r="D248" s="80">
        <v>0.907091666666667</v>
      </c>
      <c r="E248" s="80">
        <v>0.344255</v>
      </c>
      <c r="F248" s="81">
        <v>0.36846</v>
      </c>
      <c r="G248" s="81">
        <v>0.266666666666667</v>
      </c>
    </row>
    <row r="249" spans="1:7">
      <c r="A249" s="78" t="s">
        <v>217</v>
      </c>
      <c r="B249" s="93">
        <v>5.98</v>
      </c>
      <c r="C249" s="79">
        <f t="shared" si="4"/>
        <v>5.4</v>
      </c>
      <c r="D249" s="80">
        <v>0.916102842809364</v>
      </c>
      <c r="E249" s="80">
        <v>0.349661705685619</v>
      </c>
      <c r="F249" s="81">
        <v>0.371519063545151</v>
      </c>
      <c r="G249" s="81">
        <v>0.279598662207358</v>
      </c>
    </row>
    <row r="250" spans="1:7">
      <c r="A250" s="78" t="s">
        <v>218</v>
      </c>
      <c r="B250" s="103">
        <v>7.81</v>
      </c>
      <c r="C250" s="79">
        <f t="shared" si="4"/>
        <v>5.98</v>
      </c>
      <c r="D250" s="80">
        <v>0.935761203585147</v>
      </c>
      <c r="E250" s="80">
        <v>0.361456722151088</v>
      </c>
      <c r="F250" s="81">
        <v>0.37819257362356</v>
      </c>
      <c r="G250" s="81">
        <v>0.307810499359795</v>
      </c>
    </row>
    <row r="251" spans="1:7">
      <c r="A251" s="78" t="s">
        <v>219</v>
      </c>
      <c r="B251" s="93">
        <v>9.58</v>
      </c>
      <c r="C251" s="79">
        <f t="shared" si="4"/>
        <v>7.81</v>
      </c>
      <c r="D251" s="80">
        <v>0.947629958246347</v>
      </c>
      <c r="E251" s="80">
        <v>0.368577974947808</v>
      </c>
      <c r="F251" s="81">
        <v>0.382221711899791</v>
      </c>
      <c r="G251" s="81">
        <v>0.324843423799582</v>
      </c>
    </row>
    <row r="252" spans="1:7">
      <c r="A252" s="78" t="s">
        <v>220</v>
      </c>
      <c r="B252" s="93">
        <v>11.9</v>
      </c>
      <c r="C252" s="79">
        <f t="shared" si="4"/>
        <v>9.58</v>
      </c>
      <c r="D252" s="80">
        <v>0.957839915966387</v>
      </c>
      <c r="E252" s="80">
        <v>0.374703949579832</v>
      </c>
      <c r="F252" s="81">
        <v>0.385687731092437</v>
      </c>
      <c r="G252" s="81">
        <v>0.339495798319328</v>
      </c>
    </row>
    <row r="253" spans="1:7">
      <c r="A253" s="78" t="s">
        <v>221</v>
      </c>
      <c r="B253" s="314">
        <v>18.39</v>
      </c>
      <c r="C253" s="79">
        <f t="shared" si="4"/>
        <v>11.9</v>
      </c>
      <c r="D253" s="80">
        <v>0.972718597063622</v>
      </c>
      <c r="E253" s="80">
        <v>0.383631158238173</v>
      </c>
      <c r="F253" s="81">
        <v>0.390738662316476</v>
      </c>
      <c r="G253" s="81">
        <v>0.360848287112561</v>
      </c>
    </row>
    <row r="254" spans="1:7">
      <c r="A254" s="78" t="s">
        <v>221</v>
      </c>
      <c r="B254" s="78" t="s">
        <v>362</v>
      </c>
      <c r="C254" s="79">
        <f t="shared" si="4"/>
        <v>18.39</v>
      </c>
      <c r="D254" s="117"/>
      <c r="E254" s="83"/>
      <c r="F254" s="84"/>
      <c r="G254" s="84"/>
    </row>
    <row r="255" spans="1:7">
      <c r="A255" s="78"/>
      <c r="B255" s="78"/>
      <c r="C255" s="78"/>
      <c r="D255" s="117"/>
      <c r="E255" s="85">
        <v>0.0973465452286333</v>
      </c>
      <c r="F255" s="86">
        <v>0.118667376934724</v>
      </c>
      <c r="G255" s="86">
        <v>0.0576712658701138</v>
      </c>
    </row>
    <row r="256" ht="48" spans="1:7">
      <c r="A256" s="87" t="s">
        <v>233</v>
      </c>
      <c r="B256" s="78">
        <v>2</v>
      </c>
      <c r="C256" s="78"/>
      <c r="D256" s="117"/>
      <c r="F256" s="128">
        <v>0.4731</v>
      </c>
      <c r="G256" s="129">
        <v>2</v>
      </c>
    </row>
    <row r="257" ht="48" spans="1:7">
      <c r="A257" s="87" t="s">
        <v>224</v>
      </c>
      <c r="B257" s="78">
        <v>1.7</v>
      </c>
      <c r="C257" s="78"/>
      <c r="D257" s="83"/>
      <c r="E257" s="315">
        <v>0.836175</v>
      </c>
      <c r="F257" s="84"/>
      <c r="G257" s="84"/>
    </row>
    <row r="258" ht="84" spans="1:7">
      <c r="A258" s="106" t="s">
        <v>225</v>
      </c>
      <c r="B258" s="78">
        <v>1.2</v>
      </c>
      <c r="C258" s="78"/>
      <c r="D258" s="83"/>
      <c r="E258" s="315">
        <v>0.501705</v>
      </c>
      <c r="F258" s="84">
        <v>0.28386</v>
      </c>
      <c r="G258" s="84">
        <v>1.2</v>
      </c>
    </row>
    <row r="261" spans="1:3">
      <c r="A261" s="531" t="s">
        <v>226</v>
      </c>
      <c r="B261" s="95">
        <f>AVERAGE(B209:B248)</f>
        <v>0.836175</v>
      </c>
      <c r="C261" s="95"/>
    </row>
    <row r="262" spans="1:3">
      <c r="A262" s="531" t="s">
        <v>227</v>
      </c>
      <c r="B262" s="96">
        <f>AVERAGE(B214:B243)</f>
        <v>0.4731</v>
      </c>
      <c r="C262" s="96"/>
    </row>
    <row r="263" spans="1:3">
      <c r="A263" s="531" t="s">
        <v>228</v>
      </c>
      <c r="B263" s="96">
        <f>AVERAGE(B220:B238)</f>
        <v>0.23021052631579</v>
      </c>
      <c r="C263" s="96"/>
    </row>
    <row r="266" customHeight="1" spans="1:7">
      <c r="A266" s="83" t="s">
        <v>165</v>
      </c>
      <c r="B266" s="78" t="s">
        <v>363</v>
      </c>
      <c r="C266" s="78"/>
      <c r="D266" s="78"/>
      <c r="E266" s="86">
        <f>(1-E321)^(1/3)-1</f>
        <v>0</v>
      </c>
      <c r="F266" s="86">
        <f>(1-F321)^(1/3)-1</f>
        <v>0</v>
      </c>
      <c r="G266" s="86"/>
    </row>
    <row r="267" ht="72.75" spans="1:7">
      <c r="A267" s="83"/>
      <c r="B267" s="83" t="s">
        <v>167</v>
      </c>
      <c r="C267" s="130"/>
      <c r="D267" s="83" t="s">
        <v>168</v>
      </c>
      <c r="E267" s="83" t="s">
        <v>169</v>
      </c>
      <c r="F267" s="84" t="s">
        <v>169</v>
      </c>
      <c r="G267" s="84"/>
    </row>
    <row r="268" ht="24" spans="1:7">
      <c r="A268" s="83"/>
      <c r="B268" s="78" t="s">
        <v>364</v>
      </c>
      <c r="D268" s="141" t="s">
        <v>171</v>
      </c>
      <c r="E268" s="141" t="s">
        <v>171</v>
      </c>
      <c r="F268" s="141" t="s">
        <v>171</v>
      </c>
      <c r="G268" s="141"/>
    </row>
    <row r="269" spans="1:7">
      <c r="A269" s="75">
        <v>1</v>
      </c>
      <c r="B269" s="76">
        <v>2</v>
      </c>
      <c r="D269" s="76">
        <v>3</v>
      </c>
      <c r="E269" s="76">
        <v>4</v>
      </c>
      <c r="F269" s="77">
        <v>5</v>
      </c>
      <c r="G269" s="77"/>
    </row>
    <row r="270" spans="1:7">
      <c r="A270" s="530" t="s">
        <v>172</v>
      </c>
      <c r="B270" s="93"/>
      <c r="C270">
        <v>0</v>
      </c>
      <c r="D270" s="80">
        <f t="shared" ref="D270:D319" si="5">IF(B270=0,0,IF(B270&lt;=E$324,0,B270-E$324)/B270)</f>
        <v>0</v>
      </c>
      <c r="E270" s="80"/>
      <c r="F270" s="81"/>
      <c r="G270" s="81"/>
    </row>
    <row r="271" spans="1:7">
      <c r="A271" s="530" t="s">
        <v>173</v>
      </c>
      <c r="B271" s="93"/>
      <c r="C271" s="79">
        <f>B270</f>
        <v>0</v>
      </c>
      <c r="D271" s="80">
        <f t="shared" si="5"/>
        <v>0</v>
      </c>
      <c r="E271" s="80"/>
      <c r="F271" s="81"/>
      <c r="G271" s="81"/>
    </row>
    <row r="272" spans="1:7">
      <c r="A272" s="530" t="s">
        <v>174</v>
      </c>
      <c r="B272" s="93"/>
      <c r="C272" s="79">
        <f t="shared" ref="C272:C320" si="6">B271</f>
        <v>0</v>
      </c>
      <c r="D272" s="80">
        <f t="shared" si="5"/>
        <v>0</v>
      </c>
      <c r="E272" s="80"/>
      <c r="F272" s="81"/>
      <c r="G272" s="81"/>
    </row>
    <row r="273" spans="1:7">
      <c r="A273" s="530" t="s">
        <v>175</v>
      </c>
      <c r="B273" s="93"/>
      <c r="C273" s="79">
        <f t="shared" si="6"/>
        <v>0</v>
      </c>
      <c r="D273" s="80">
        <f t="shared" si="5"/>
        <v>0</v>
      </c>
      <c r="E273" s="80"/>
      <c r="F273" s="81"/>
      <c r="G273" s="81"/>
    </row>
    <row r="274" spans="1:7">
      <c r="A274" s="530" t="s">
        <v>176</v>
      </c>
      <c r="B274" s="93"/>
      <c r="C274" s="79">
        <f t="shared" si="6"/>
        <v>0</v>
      </c>
      <c r="D274" s="80">
        <f t="shared" si="5"/>
        <v>0</v>
      </c>
      <c r="E274" s="80"/>
      <c r="F274" s="81"/>
      <c r="G274" s="81"/>
    </row>
    <row r="275" spans="1:7">
      <c r="A275" s="530" t="s">
        <v>177</v>
      </c>
      <c r="B275" s="93"/>
      <c r="C275" s="79">
        <f t="shared" si="6"/>
        <v>0</v>
      </c>
      <c r="D275" s="80">
        <f t="shared" si="5"/>
        <v>0</v>
      </c>
      <c r="E275" s="80"/>
      <c r="F275" s="81"/>
      <c r="G275" s="81"/>
    </row>
    <row r="276" spans="1:7">
      <c r="A276" s="530" t="s">
        <v>178</v>
      </c>
      <c r="B276" s="93"/>
      <c r="C276" s="79">
        <f t="shared" si="6"/>
        <v>0</v>
      </c>
      <c r="D276" s="80">
        <f t="shared" si="5"/>
        <v>0</v>
      </c>
      <c r="E276" s="80"/>
      <c r="F276" s="81"/>
      <c r="G276" s="81"/>
    </row>
    <row r="277" spans="1:7">
      <c r="A277" s="78" t="s">
        <v>179</v>
      </c>
      <c r="B277" s="93"/>
      <c r="C277" s="79">
        <f t="shared" si="6"/>
        <v>0</v>
      </c>
      <c r="D277" s="80">
        <f t="shared" si="5"/>
        <v>0</v>
      </c>
      <c r="E277" s="80"/>
      <c r="F277" s="81"/>
      <c r="G277" s="81"/>
    </row>
    <row r="278" spans="1:7">
      <c r="A278" s="78" t="s">
        <v>180</v>
      </c>
      <c r="B278" s="93"/>
      <c r="C278" s="79">
        <f t="shared" si="6"/>
        <v>0</v>
      </c>
      <c r="D278" s="80">
        <f t="shared" si="5"/>
        <v>0</v>
      </c>
      <c r="E278" s="80"/>
      <c r="F278" s="81"/>
      <c r="G278" s="81"/>
    </row>
    <row r="279" spans="1:7">
      <c r="A279" s="78" t="s">
        <v>181</v>
      </c>
      <c r="B279" s="93"/>
      <c r="C279" s="79">
        <f t="shared" si="6"/>
        <v>0</v>
      </c>
      <c r="D279" s="80">
        <f t="shared" si="5"/>
        <v>0</v>
      </c>
      <c r="E279" s="80"/>
      <c r="F279" s="81"/>
      <c r="G279" s="81"/>
    </row>
    <row r="280" spans="1:7">
      <c r="A280" s="78" t="s">
        <v>182</v>
      </c>
      <c r="B280" s="93"/>
      <c r="C280" s="79">
        <f t="shared" si="6"/>
        <v>0</v>
      </c>
      <c r="D280" s="80">
        <f t="shared" si="5"/>
        <v>0</v>
      </c>
      <c r="E280" s="80"/>
      <c r="F280" s="81"/>
      <c r="G280" s="81"/>
    </row>
    <row r="281" spans="1:7">
      <c r="A281" s="78" t="s">
        <v>183</v>
      </c>
      <c r="B281" s="93"/>
      <c r="C281" s="79">
        <f t="shared" si="6"/>
        <v>0</v>
      </c>
      <c r="D281" s="80">
        <f t="shared" si="5"/>
        <v>0</v>
      </c>
      <c r="E281" s="80"/>
      <c r="F281" s="81"/>
      <c r="G281" s="81"/>
    </row>
    <row r="282" spans="1:7">
      <c r="A282" s="78" t="s">
        <v>184</v>
      </c>
      <c r="B282" s="93"/>
      <c r="C282" s="79">
        <f t="shared" si="6"/>
        <v>0</v>
      </c>
      <c r="D282" s="80">
        <f t="shared" si="5"/>
        <v>0</v>
      </c>
      <c r="E282" s="80"/>
      <c r="F282" s="81"/>
      <c r="G282" s="81"/>
    </row>
    <row r="283" spans="1:7">
      <c r="A283" s="78" t="s">
        <v>185</v>
      </c>
      <c r="B283" s="93"/>
      <c r="C283" s="79">
        <f t="shared" si="6"/>
        <v>0</v>
      </c>
      <c r="D283" s="80">
        <f t="shared" si="5"/>
        <v>0</v>
      </c>
      <c r="E283" s="80"/>
      <c r="F283" s="81"/>
      <c r="G283" s="81"/>
    </row>
    <row r="284" spans="1:7">
      <c r="A284" s="78" t="s">
        <v>186</v>
      </c>
      <c r="B284" s="93"/>
      <c r="C284" s="79">
        <f t="shared" si="6"/>
        <v>0</v>
      </c>
      <c r="D284" s="80">
        <f t="shared" si="5"/>
        <v>0</v>
      </c>
      <c r="E284" s="80"/>
      <c r="F284" s="81"/>
      <c r="G284" s="81"/>
    </row>
    <row r="285" spans="1:7">
      <c r="A285" s="78" t="s">
        <v>187</v>
      </c>
      <c r="B285" s="93"/>
      <c r="C285" s="79">
        <f t="shared" si="6"/>
        <v>0</v>
      </c>
      <c r="D285" s="80">
        <f t="shared" si="5"/>
        <v>0</v>
      </c>
      <c r="E285" s="80"/>
      <c r="F285" s="81"/>
      <c r="G285" s="81"/>
    </row>
    <row r="286" spans="1:7">
      <c r="A286" s="78" t="s">
        <v>188</v>
      </c>
      <c r="B286" s="93"/>
      <c r="C286" s="79">
        <f t="shared" si="6"/>
        <v>0</v>
      </c>
      <c r="D286" s="80">
        <f t="shared" si="5"/>
        <v>0</v>
      </c>
      <c r="E286" s="80"/>
      <c r="F286" s="81"/>
      <c r="G286" s="81"/>
    </row>
    <row r="287" spans="1:7">
      <c r="A287" s="78" t="s">
        <v>189</v>
      </c>
      <c r="B287" s="93"/>
      <c r="C287" s="79">
        <f t="shared" si="6"/>
        <v>0</v>
      </c>
      <c r="D287" s="80">
        <f t="shared" si="5"/>
        <v>0</v>
      </c>
      <c r="E287" s="80"/>
      <c r="F287" s="81"/>
      <c r="G287" s="81"/>
    </row>
    <row r="288" spans="1:7">
      <c r="A288" s="78" t="s">
        <v>190</v>
      </c>
      <c r="B288" s="93"/>
      <c r="C288" s="79">
        <f t="shared" si="6"/>
        <v>0</v>
      </c>
      <c r="D288" s="80">
        <f t="shared" si="5"/>
        <v>0</v>
      </c>
      <c r="E288" s="80"/>
      <c r="F288" s="81"/>
      <c r="G288" s="81"/>
    </row>
    <row r="289" spans="1:7">
      <c r="A289" s="78" t="s">
        <v>191</v>
      </c>
      <c r="B289" s="93"/>
      <c r="C289" s="79">
        <f t="shared" si="6"/>
        <v>0</v>
      </c>
      <c r="D289" s="80">
        <f t="shared" si="5"/>
        <v>0</v>
      </c>
      <c r="E289" s="80"/>
      <c r="F289" s="81"/>
      <c r="G289" s="81"/>
    </row>
    <row r="290" spans="1:7">
      <c r="A290" s="78" t="s">
        <v>192</v>
      </c>
      <c r="B290" s="93"/>
      <c r="C290" s="79">
        <f t="shared" si="6"/>
        <v>0</v>
      </c>
      <c r="D290" s="80">
        <f t="shared" si="5"/>
        <v>0</v>
      </c>
      <c r="E290" s="80"/>
      <c r="F290" s="81"/>
      <c r="G290" s="81"/>
    </row>
    <row r="291" spans="1:7">
      <c r="A291" s="78" t="s">
        <v>193</v>
      </c>
      <c r="B291" s="93"/>
      <c r="C291" s="79">
        <f t="shared" si="6"/>
        <v>0</v>
      </c>
      <c r="D291" s="80">
        <f t="shared" si="5"/>
        <v>0</v>
      </c>
      <c r="E291" s="80"/>
      <c r="F291" s="81"/>
      <c r="G291" s="81"/>
    </row>
    <row r="292" spans="1:7">
      <c r="A292" s="78" t="s">
        <v>194</v>
      </c>
      <c r="B292" s="93"/>
      <c r="C292" s="79">
        <f t="shared" si="6"/>
        <v>0</v>
      </c>
      <c r="D292" s="80">
        <f t="shared" si="5"/>
        <v>0</v>
      </c>
      <c r="E292" s="80"/>
      <c r="F292" s="81"/>
      <c r="G292" s="81"/>
    </row>
    <row r="293" spans="1:7">
      <c r="A293" s="78" t="s">
        <v>195</v>
      </c>
      <c r="B293" s="93"/>
      <c r="C293" s="79">
        <f t="shared" si="6"/>
        <v>0</v>
      </c>
      <c r="D293" s="80">
        <f t="shared" si="5"/>
        <v>0</v>
      </c>
      <c r="E293" s="80"/>
      <c r="F293" s="81"/>
      <c r="G293" s="81"/>
    </row>
    <row r="294" spans="1:7">
      <c r="A294" s="78" t="s">
        <v>196</v>
      </c>
      <c r="B294" s="93"/>
      <c r="C294" s="79">
        <f t="shared" si="6"/>
        <v>0</v>
      </c>
      <c r="D294" s="80">
        <f t="shared" si="5"/>
        <v>0</v>
      </c>
      <c r="E294" s="80"/>
      <c r="F294" s="81"/>
      <c r="G294" s="81"/>
    </row>
    <row r="295" spans="1:7">
      <c r="A295" s="78" t="s">
        <v>197</v>
      </c>
      <c r="B295" s="93"/>
      <c r="C295" s="79">
        <f t="shared" si="6"/>
        <v>0</v>
      </c>
      <c r="D295" s="80">
        <f t="shared" si="5"/>
        <v>0</v>
      </c>
      <c r="E295" s="80"/>
      <c r="F295" s="81"/>
      <c r="G295" s="81"/>
    </row>
    <row r="296" spans="1:7">
      <c r="A296" s="78" t="s">
        <v>198</v>
      </c>
      <c r="B296" s="93"/>
      <c r="C296" s="79">
        <f t="shared" si="6"/>
        <v>0</v>
      </c>
      <c r="D296" s="80">
        <f t="shared" si="5"/>
        <v>0</v>
      </c>
      <c r="E296" s="80"/>
      <c r="F296" s="81"/>
      <c r="G296" s="81"/>
    </row>
    <row r="297" spans="1:7">
      <c r="A297" s="78" t="s">
        <v>199</v>
      </c>
      <c r="B297" s="93"/>
      <c r="C297" s="79">
        <f t="shared" si="6"/>
        <v>0</v>
      </c>
      <c r="D297" s="80">
        <f t="shared" si="5"/>
        <v>0</v>
      </c>
      <c r="E297" s="80"/>
      <c r="F297" s="81"/>
      <c r="G297" s="81"/>
    </row>
    <row r="298" spans="1:7">
      <c r="A298" s="78" t="s">
        <v>200</v>
      </c>
      <c r="B298" s="93"/>
      <c r="C298" s="79">
        <f t="shared" si="6"/>
        <v>0</v>
      </c>
      <c r="D298" s="80">
        <f t="shared" si="5"/>
        <v>0</v>
      </c>
      <c r="E298" s="80"/>
      <c r="F298" s="81"/>
      <c r="G298" s="81"/>
    </row>
    <row r="299" spans="1:7">
      <c r="A299" s="78" t="s">
        <v>201</v>
      </c>
      <c r="B299" s="93"/>
      <c r="C299" s="79">
        <f t="shared" si="6"/>
        <v>0</v>
      </c>
      <c r="D299" s="80">
        <f t="shared" si="5"/>
        <v>0</v>
      </c>
      <c r="E299" s="80"/>
      <c r="F299" s="81"/>
      <c r="G299" s="81"/>
    </row>
    <row r="300" spans="1:7">
      <c r="A300" s="78" t="s">
        <v>202</v>
      </c>
      <c r="B300" s="93"/>
      <c r="C300" s="79">
        <f t="shared" si="6"/>
        <v>0</v>
      </c>
      <c r="D300" s="80">
        <f t="shared" si="5"/>
        <v>0</v>
      </c>
      <c r="E300" s="80"/>
      <c r="F300" s="81"/>
      <c r="G300" s="81"/>
    </row>
    <row r="301" spans="1:7">
      <c r="A301" s="78" t="s">
        <v>203</v>
      </c>
      <c r="B301" s="93"/>
      <c r="C301" s="79">
        <f t="shared" si="6"/>
        <v>0</v>
      </c>
      <c r="D301" s="80">
        <f t="shared" si="5"/>
        <v>0</v>
      </c>
      <c r="E301" s="80"/>
      <c r="F301" s="81"/>
      <c r="G301" s="81"/>
    </row>
    <row r="302" spans="1:7">
      <c r="A302" s="78" t="s">
        <v>204</v>
      </c>
      <c r="B302" s="93"/>
      <c r="C302" s="79">
        <f t="shared" si="6"/>
        <v>0</v>
      </c>
      <c r="D302" s="80">
        <f t="shared" si="5"/>
        <v>0</v>
      </c>
      <c r="E302" s="80"/>
      <c r="F302" s="81"/>
      <c r="G302" s="81"/>
    </row>
    <row r="303" spans="1:7">
      <c r="A303" s="78" t="s">
        <v>205</v>
      </c>
      <c r="B303" s="93"/>
      <c r="C303" s="79">
        <f t="shared" si="6"/>
        <v>0</v>
      </c>
      <c r="D303" s="80">
        <f t="shared" si="5"/>
        <v>0</v>
      </c>
      <c r="E303" s="80"/>
      <c r="F303" s="81"/>
      <c r="G303" s="81"/>
    </row>
    <row r="304" spans="1:7">
      <c r="A304" s="78" t="s">
        <v>206</v>
      </c>
      <c r="B304" s="93"/>
      <c r="C304" s="79">
        <f t="shared" si="6"/>
        <v>0</v>
      </c>
      <c r="D304" s="80">
        <f t="shared" si="5"/>
        <v>0</v>
      </c>
      <c r="E304" s="80"/>
      <c r="F304" s="81"/>
      <c r="G304" s="81"/>
    </row>
    <row r="305" spans="1:7">
      <c r="A305" s="78" t="s">
        <v>207</v>
      </c>
      <c r="B305" s="93"/>
      <c r="C305" s="79">
        <f t="shared" si="6"/>
        <v>0</v>
      </c>
      <c r="D305" s="80">
        <f t="shared" si="5"/>
        <v>0</v>
      </c>
      <c r="E305" s="80"/>
      <c r="F305" s="81"/>
      <c r="G305" s="81"/>
    </row>
    <row r="306" spans="1:7">
      <c r="A306" s="78" t="s">
        <v>208</v>
      </c>
      <c r="B306" s="93"/>
      <c r="C306" s="79">
        <f t="shared" si="6"/>
        <v>0</v>
      </c>
      <c r="D306" s="80">
        <f t="shared" si="5"/>
        <v>0</v>
      </c>
      <c r="E306" s="80"/>
      <c r="F306" s="81"/>
      <c r="G306" s="81"/>
    </row>
    <row r="307" spans="1:7">
      <c r="A307" s="78" t="s">
        <v>209</v>
      </c>
      <c r="B307" s="93"/>
      <c r="C307" s="79">
        <f t="shared" si="6"/>
        <v>0</v>
      </c>
      <c r="D307" s="80">
        <f t="shared" si="5"/>
        <v>0</v>
      </c>
      <c r="E307" s="80"/>
      <c r="F307" s="81"/>
      <c r="G307" s="81"/>
    </row>
    <row r="308" spans="1:7">
      <c r="A308" s="78" t="s">
        <v>210</v>
      </c>
      <c r="B308" s="93"/>
      <c r="C308" s="79">
        <f t="shared" si="6"/>
        <v>0</v>
      </c>
      <c r="D308" s="80">
        <f t="shared" si="5"/>
        <v>0</v>
      </c>
      <c r="E308" s="80"/>
      <c r="F308" s="81"/>
      <c r="G308" s="81"/>
    </row>
    <row r="309" spans="1:7">
      <c r="A309" s="78" t="s">
        <v>211</v>
      </c>
      <c r="B309" s="93"/>
      <c r="C309" s="79">
        <f t="shared" si="6"/>
        <v>0</v>
      </c>
      <c r="D309" s="80">
        <f t="shared" si="5"/>
        <v>0</v>
      </c>
      <c r="E309" s="80"/>
      <c r="F309" s="81"/>
      <c r="G309" s="81"/>
    </row>
    <row r="310" spans="1:7">
      <c r="A310" s="78" t="s">
        <v>212</v>
      </c>
      <c r="B310" s="93"/>
      <c r="C310" s="79">
        <f t="shared" si="6"/>
        <v>0</v>
      </c>
      <c r="D310" s="80">
        <f t="shared" si="5"/>
        <v>0</v>
      </c>
      <c r="E310" s="80"/>
      <c r="F310" s="81"/>
      <c r="G310" s="81"/>
    </row>
    <row r="311" spans="1:7">
      <c r="A311" s="78" t="s">
        <v>213</v>
      </c>
      <c r="B311" s="93"/>
      <c r="C311" s="79">
        <f t="shared" si="6"/>
        <v>0</v>
      </c>
      <c r="D311" s="80">
        <f t="shared" si="5"/>
        <v>0</v>
      </c>
      <c r="E311" s="80"/>
      <c r="F311" s="81"/>
      <c r="G311" s="81"/>
    </row>
    <row r="312" spans="1:7">
      <c r="A312" s="78" t="s">
        <v>214</v>
      </c>
      <c r="B312" s="93"/>
      <c r="C312" s="79">
        <f t="shared" si="6"/>
        <v>0</v>
      </c>
      <c r="D312" s="80">
        <f t="shared" si="5"/>
        <v>0</v>
      </c>
      <c r="E312" s="80"/>
      <c r="F312" s="81"/>
      <c r="G312" s="81"/>
    </row>
    <row r="313" spans="1:7">
      <c r="A313" s="78" t="s">
        <v>215</v>
      </c>
      <c r="B313" s="93"/>
      <c r="C313" s="79">
        <f t="shared" si="6"/>
        <v>0</v>
      </c>
      <c r="D313" s="80">
        <f t="shared" si="5"/>
        <v>0</v>
      </c>
      <c r="E313" s="80"/>
      <c r="F313" s="81"/>
      <c r="G313" s="81"/>
    </row>
    <row r="314" spans="1:7">
      <c r="A314" s="78" t="s">
        <v>216</v>
      </c>
      <c r="B314" s="93"/>
      <c r="C314" s="79">
        <f t="shared" si="6"/>
        <v>0</v>
      </c>
      <c r="D314" s="80">
        <f t="shared" si="5"/>
        <v>0</v>
      </c>
      <c r="E314" s="80"/>
      <c r="F314" s="81"/>
      <c r="G314" s="81"/>
    </row>
    <row r="315" spans="1:7">
      <c r="A315" s="78" t="s">
        <v>217</v>
      </c>
      <c r="B315" s="93"/>
      <c r="C315" s="79">
        <f t="shared" si="6"/>
        <v>0</v>
      </c>
      <c r="D315" s="80">
        <f t="shared" si="5"/>
        <v>0</v>
      </c>
      <c r="E315" s="80"/>
      <c r="F315" s="81"/>
      <c r="G315" s="81"/>
    </row>
    <row r="316" spans="1:7">
      <c r="A316" s="78" t="s">
        <v>218</v>
      </c>
      <c r="B316" s="93"/>
      <c r="C316" s="79">
        <f t="shared" si="6"/>
        <v>0</v>
      </c>
      <c r="D316" s="80">
        <f t="shared" si="5"/>
        <v>0</v>
      </c>
      <c r="E316" s="80"/>
      <c r="F316" s="81"/>
      <c r="G316" s="81"/>
    </row>
    <row r="317" spans="1:7">
      <c r="A317" s="78" t="s">
        <v>219</v>
      </c>
      <c r="B317" s="93"/>
      <c r="C317" s="79">
        <f t="shared" si="6"/>
        <v>0</v>
      </c>
      <c r="D317" s="80">
        <f t="shared" si="5"/>
        <v>0</v>
      </c>
      <c r="E317" s="80"/>
      <c r="F317" s="81"/>
      <c r="G317" s="81"/>
    </row>
    <row r="318" spans="1:7">
      <c r="A318" s="78" t="s">
        <v>220</v>
      </c>
      <c r="B318" s="93"/>
      <c r="C318" s="79">
        <f t="shared" si="6"/>
        <v>0</v>
      </c>
      <c r="D318" s="80">
        <f t="shared" si="5"/>
        <v>0</v>
      </c>
      <c r="E318" s="80"/>
      <c r="F318" s="81"/>
      <c r="G318" s="81"/>
    </row>
    <row r="319" spans="1:7">
      <c r="A319" s="78" t="s">
        <v>221</v>
      </c>
      <c r="B319" s="93"/>
      <c r="C319" s="79">
        <f t="shared" si="6"/>
        <v>0</v>
      </c>
      <c r="D319" s="80">
        <f t="shared" si="5"/>
        <v>0</v>
      </c>
      <c r="E319" s="80"/>
      <c r="F319" s="81"/>
      <c r="G319" s="81"/>
    </row>
    <row r="320" spans="1:7">
      <c r="A320" s="78" t="s">
        <v>221</v>
      </c>
      <c r="B320" s="78"/>
      <c r="C320" s="79">
        <f t="shared" si="6"/>
        <v>0</v>
      </c>
      <c r="D320" s="117"/>
      <c r="E320" s="83"/>
      <c r="F320" s="84"/>
      <c r="G320" s="84"/>
    </row>
    <row r="321" spans="1:7">
      <c r="A321" s="78"/>
      <c r="B321" s="78"/>
      <c r="D321" s="78"/>
      <c r="E321" s="85"/>
      <c r="F321" s="86"/>
      <c r="G321" s="86"/>
    </row>
    <row r="322" ht="48" spans="1:7">
      <c r="A322" s="87" t="s">
        <v>233</v>
      </c>
      <c r="B322" s="78"/>
      <c r="D322" s="78"/>
      <c r="E322" s="127"/>
      <c r="F322" s="128"/>
      <c r="G322" s="129"/>
    </row>
    <row r="323" ht="48" spans="1:7">
      <c r="A323" s="87" t="s">
        <v>224</v>
      </c>
      <c r="B323" s="78"/>
      <c r="D323" s="83"/>
      <c r="E323" s="83"/>
      <c r="F323" s="84"/>
      <c r="G323" s="84"/>
    </row>
    <row r="324" ht="84" spans="1:7">
      <c r="A324" s="106" t="s">
        <v>225</v>
      </c>
      <c r="B324" s="78"/>
      <c r="D324" s="83"/>
      <c r="E324" s="83"/>
      <c r="F324" s="84"/>
      <c r="G324" s="84"/>
    </row>
    <row r="327" spans="1:2">
      <c r="A327" s="531" t="s">
        <v>226</v>
      </c>
      <c r="B327" s="95" t="e">
        <f>AVERAGE(B275:B314)</f>
        <v>#DIV/0!</v>
      </c>
    </row>
    <row r="328" spans="1:2">
      <c r="A328" s="531" t="s">
        <v>227</v>
      </c>
      <c r="B328" s="96" t="e">
        <f>AVERAGE(B280:B309)</f>
        <v>#DIV/0!</v>
      </c>
    </row>
    <row r="329" spans="1:2">
      <c r="A329" s="531" t="s">
        <v>228</v>
      </c>
      <c r="B329" s="96" t="e">
        <f>AVERAGE(B286:B304)</f>
        <v>#DIV/0!</v>
      </c>
    </row>
    <row r="333" customHeight="1" spans="1:7">
      <c r="A333" s="83" t="s">
        <v>165</v>
      </c>
      <c r="B333" s="117" t="s">
        <v>37</v>
      </c>
      <c r="C333" s="117"/>
      <c r="D333" s="117"/>
      <c r="E333" s="86">
        <f>(1-E388)^(1/3)-1</f>
        <v>0</v>
      </c>
      <c r="F333" s="86">
        <f>(1-F388)^(1/3)-1</f>
        <v>0</v>
      </c>
      <c r="G333" s="86"/>
    </row>
    <row r="334" ht="72" spans="1:7">
      <c r="A334" s="83"/>
      <c r="B334" s="83" t="s">
        <v>167</v>
      </c>
      <c r="D334" s="83" t="s">
        <v>168</v>
      </c>
      <c r="E334" s="83" t="s">
        <v>169</v>
      </c>
      <c r="F334" s="84" t="s">
        <v>169</v>
      </c>
      <c r="G334" s="84"/>
    </row>
    <row r="335" ht="24" spans="1:7">
      <c r="A335" s="83"/>
      <c r="B335" s="78" t="s">
        <v>365</v>
      </c>
      <c r="D335" s="141" t="s">
        <v>171</v>
      </c>
      <c r="E335" s="141" t="s">
        <v>171</v>
      </c>
      <c r="F335" s="141" t="s">
        <v>171</v>
      </c>
      <c r="G335" s="141"/>
    </row>
    <row r="336" ht="15.75" spans="1:7">
      <c r="A336" s="75">
        <v>1</v>
      </c>
      <c r="B336" s="76">
        <v>2</v>
      </c>
      <c r="C336" s="131"/>
      <c r="D336" s="76">
        <v>3</v>
      </c>
      <c r="E336" s="76">
        <v>4</v>
      </c>
      <c r="F336" s="77">
        <v>5</v>
      </c>
      <c r="G336" s="77"/>
    </row>
    <row r="337" spans="1:7">
      <c r="A337" s="530" t="s">
        <v>172</v>
      </c>
      <c r="B337" s="93"/>
      <c r="C337">
        <v>0</v>
      </c>
      <c r="D337" s="80">
        <f t="shared" ref="D337:D386" si="7">IF(B337=0,0,IF(B337&lt;=E$391,0,B337-E$391)/B337)</f>
        <v>0</v>
      </c>
      <c r="E337" s="80"/>
      <c r="F337" s="81"/>
      <c r="G337" s="81"/>
    </row>
    <row r="338" spans="1:7">
      <c r="A338" s="530" t="s">
        <v>173</v>
      </c>
      <c r="B338" s="93"/>
      <c r="C338" s="79">
        <f>B337</f>
        <v>0</v>
      </c>
      <c r="D338" s="80">
        <f t="shared" si="7"/>
        <v>0</v>
      </c>
      <c r="E338" s="80"/>
      <c r="F338" s="81"/>
      <c r="G338" s="81"/>
    </row>
    <row r="339" spans="1:7">
      <c r="A339" s="530" t="s">
        <v>174</v>
      </c>
      <c r="B339" s="93"/>
      <c r="C339" s="79">
        <f t="shared" ref="C339:C387" si="8">B338</f>
        <v>0</v>
      </c>
      <c r="D339" s="80">
        <f t="shared" si="7"/>
        <v>0</v>
      </c>
      <c r="E339" s="80"/>
      <c r="F339" s="81"/>
      <c r="G339" s="81"/>
    </row>
    <row r="340" spans="1:7">
      <c r="A340" s="530" t="s">
        <v>175</v>
      </c>
      <c r="B340" s="93"/>
      <c r="C340" s="79">
        <f t="shared" si="8"/>
        <v>0</v>
      </c>
      <c r="D340" s="80">
        <f t="shared" si="7"/>
        <v>0</v>
      </c>
      <c r="E340" s="80"/>
      <c r="F340" s="81"/>
      <c r="G340" s="81"/>
    </row>
    <row r="341" spans="1:7">
      <c r="A341" s="530" t="s">
        <v>176</v>
      </c>
      <c r="B341" s="93"/>
      <c r="C341" s="79">
        <f t="shared" si="8"/>
        <v>0</v>
      </c>
      <c r="D341" s="80">
        <f t="shared" si="7"/>
        <v>0</v>
      </c>
      <c r="E341" s="80"/>
      <c r="F341" s="81"/>
      <c r="G341" s="81"/>
    </row>
    <row r="342" spans="1:7">
      <c r="A342" s="530" t="s">
        <v>177</v>
      </c>
      <c r="B342" s="93"/>
      <c r="C342" s="79">
        <f t="shared" si="8"/>
        <v>0</v>
      </c>
      <c r="D342" s="80">
        <f t="shared" si="7"/>
        <v>0</v>
      </c>
      <c r="E342" s="80"/>
      <c r="F342" s="81"/>
      <c r="G342" s="81"/>
    </row>
    <row r="343" spans="1:7">
      <c r="A343" s="530" t="s">
        <v>178</v>
      </c>
      <c r="B343" s="93"/>
      <c r="C343" s="79">
        <f t="shared" si="8"/>
        <v>0</v>
      </c>
      <c r="D343" s="80">
        <f t="shared" si="7"/>
        <v>0</v>
      </c>
      <c r="E343" s="80"/>
      <c r="F343" s="81"/>
      <c r="G343" s="81"/>
    </row>
    <row r="344" spans="1:7">
      <c r="A344" s="78" t="s">
        <v>179</v>
      </c>
      <c r="B344" s="93"/>
      <c r="C344" s="79">
        <f t="shared" si="8"/>
        <v>0</v>
      </c>
      <c r="D344" s="80">
        <f t="shared" si="7"/>
        <v>0</v>
      </c>
      <c r="E344" s="80"/>
      <c r="F344" s="81"/>
      <c r="G344" s="81"/>
    </row>
    <row r="345" spans="1:7">
      <c r="A345" s="78" t="s">
        <v>180</v>
      </c>
      <c r="B345" s="93"/>
      <c r="C345" s="79">
        <f t="shared" si="8"/>
        <v>0</v>
      </c>
      <c r="D345" s="80">
        <f t="shared" si="7"/>
        <v>0</v>
      </c>
      <c r="E345" s="80"/>
      <c r="F345" s="81"/>
      <c r="G345" s="81"/>
    </row>
    <row r="346" spans="1:7">
      <c r="A346" s="78" t="s">
        <v>181</v>
      </c>
      <c r="B346" s="93"/>
      <c r="C346" s="79">
        <f t="shared" si="8"/>
        <v>0</v>
      </c>
      <c r="D346" s="80">
        <f t="shared" si="7"/>
        <v>0</v>
      </c>
      <c r="E346" s="80"/>
      <c r="F346" s="81"/>
      <c r="G346" s="81"/>
    </row>
    <row r="347" spans="1:7">
      <c r="A347" s="78" t="s">
        <v>182</v>
      </c>
      <c r="B347" s="93"/>
      <c r="C347" s="79">
        <f t="shared" si="8"/>
        <v>0</v>
      </c>
      <c r="D347" s="80">
        <f t="shared" si="7"/>
        <v>0</v>
      </c>
      <c r="E347" s="80"/>
      <c r="F347" s="81"/>
      <c r="G347" s="81"/>
    </row>
    <row r="348" spans="1:7">
      <c r="A348" s="78" t="s">
        <v>183</v>
      </c>
      <c r="B348" s="93"/>
      <c r="C348" s="79">
        <f t="shared" si="8"/>
        <v>0</v>
      </c>
      <c r="D348" s="80">
        <f t="shared" si="7"/>
        <v>0</v>
      </c>
      <c r="E348" s="80"/>
      <c r="F348" s="81"/>
      <c r="G348" s="81"/>
    </row>
    <row r="349" spans="1:7">
      <c r="A349" s="78" t="s">
        <v>184</v>
      </c>
      <c r="B349" s="93"/>
      <c r="C349" s="79">
        <f t="shared" si="8"/>
        <v>0</v>
      </c>
      <c r="D349" s="80">
        <f t="shared" si="7"/>
        <v>0</v>
      </c>
      <c r="E349" s="80"/>
      <c r="F349" s="81"/>
      <c r="G349" s="81"/>
    </row>
    <row r="350" spans="1:7">
      <c r="A350" s="78" t="s">
        <v>185</v>
      </c>
      <c r="B350" s="93"/>
      <c r="C350" s="79">
        <f t="shared" si="8"/>
        <v>0</v>
      </c>
      <c r="D350" s="80">
        <f t="shared" si="7"/>
        <v>0</v>
      </c>
      <c r="E350" s="80"/>
      <c r="F350" s="81"/>
      <c r="G350" s="81"/>
    </row>
    <row r="351" spans="1:7">
      <c r="A351" s="78" t="s">
        <v>186</v>
      </c>
      <c r="B351" s="93"/>
      <c r="C351" s="79">
        <f t="shared" si="8"/>
        <v>0</v>
      </c>
      <c r="D351" s="80">
        <f t="shared" si="7"/>
        <v>0</v>
      </c>
      <c r="E351" s="80"/>
      <c r="F351" s="81"/>
      <c r="G351" s="81"/>
    </row>
    <row r="352" spans="1:7">
      <c r="A352" s="78" t="s">
        <v>187</v>
      </c>
      <c r="B352" s="93"/>
      <c r="C352" s="79">
        <f t="shared" si="8"/>
        <v>0</v>
      </c>
      <c r="D352" s="80">
        <f t="shared" si="7"/>
        <v>0</v>
      </c>
      <c r="E352" s="80"/>
      <c r="F352" s="81"/>
      <c r="G352" s="81"/>
    </row>
    <row r="353" spans="1:7">
      <c r="A353" s="78" t="s">
        <v>188</v>
      </c>
      <c r="B353" s="93"/>
      <c r="C353" s="79">
        <f t="shared" si="8"/>
        <v>0</v>
      </c>
      <c r="D353" s="80">
        <f t="shared" si="7"/>
        <v>0</v>
      </c>
      <c r="E353" s="80"/>
      <c r="F353" s="81"/>
      <c r="G353" s="81"/>
    </row>
    <row r="354" spans="1:7">
      <c r="A354" s="78" t="s">
        <v>189</v>
      </c>
      <c r="B354" s="93"/>
      <c r="C354" s="79">
        <f t="shared" si="8"/>
        <v>0</v>
      </c>
      <c r="D354" s="80">
        <f t="shared" si="7"/>
        <v>0</v>
      </c>
      <c r="E354" s="80"/>
      <c r="F354" s="81"/>
      <c r="G354" s="81"/>
    </row>
    <row r="355" spans="1:7">
      <c r="A355" s="78" t="s">
        <v>190</v>
      </c>
      <c r="B355" s="93"/>
      <c r="C355" s="79">
        <f t="shared" si="8"/>
        <v>0</v>
      </c>
      <c r="D355" s="80">
        <f t="shared" si="7"/>
        <v>0</v>
      </c>
      <c r="E355" s="80"/>
      <c r="F355" s="81"/>
      <c r="G355" s="81"/>
    </row>
    <row r="356" spans="1:7">
      <c r="A356" s="78" t="s">
        <v>191</v>
      </c>
      <c r="B356" s="93"/>
      <c r="C356" s="79">
        <f t="shared" si="8"/>
        <v>0</v>
      </c>
      <c r="D356" s="80">
        <f t="shared" si="7"/>
        <v>0</v>
      </c>
      <c r="E356" s="80"/>
      <c r="F356" s="81"/>
      <c r="G356" s="81"/>
    </row>
    <row r="357" spans="1:7">
      <c r="A357" s="78" t="s">
        <v>192</v>
      </c>
      <c r="B357" s="93"/>
      <c r="C357" s="79">
        <f t="shared" si="8"/>
        <v>0</v>
      </c>
      <c r="D357" s="80">
        <f t="shared" si="7"/>
        <v>0</v>
      </c>
      <c r="E357" s="80"/>
      <c r="F357" s="81"/>
      <c r="G357" s="81"/>
    </row>
    <row r="358" spans="1:7">
      <c r="A358" s="78" t="s">
        <v>193</v>
      </c>
      <c r="B358" s="93"/>
      <c r="C358" s="79">
        <f t="shared" si="8"/>
        <v>0</v>
      </c>
      <c r="D358" s="80">
        <f t="shared" si="7"/>
        <v>0</v>
      </c>
      <c r="E358" s="80"/>
      <c r="F358" s="81"/>
      <c r="G358" s="81"/>
    </row>
    <row r="359" spans="1:7">
      <c r="A359" s="78" t="s">
        <v>194</v>
      </c>
      <c r="B359" s="93"/>
      <c r="C359" s="79">
        <f t="shared" si="8"/>
        <v>0</v>
      </c>
      <c r="D359" s="80">
        <f t="shared" si="7"/>
        <v>0</v>
      </c>
      <c r="E359" s="80"/>
      <c r="F359" s="81"/>
      <c r="G359" s="81"/>
    </row>
    <row r="360" spans="1:7">
      <c r="A360" s="78" t="s">
        <v>195</v>
      </c>
      <c r="B360" s="93"/>
      <c r="C360" s="79">
        <f t="shared" si="8"/>
        <v>0</v>
      </c>
      <c r="D360" s="80">
        <f t="shared" si="7"/>
        <v>0</v>
      </c>
      <c r="E360" s="80"/>
      <c r="F360" s="81"/>
      <c r="G360" s="81"/>
    </row>
    <row r="361" spans="1:7">
      <c r="A361" s="78" t="s">
        <v>196</v>
      </c>
      <c r="B361" s="93"/>
      <c r="C361" s="79">
        <f t="shared" si="8"/>
        <v>0</v>
      </c>
      <c r="D361" s="80">
        <f t="shared" si="7"/>
        <v>0</v>
      </c>
      <c r="E361" s="80"/>
      <c r="F361" s="81"/>
      <c r="G361" s="81"/>
    </row>
    <row r="362" spans="1:7">
      <c r="A362" s="78" t="s">
        <v>197</v>
      </c>
      <c r="B362" s="93"/>
      <c r="C362" s="79">
        <f t="shared" si="8"/>
        <v>0</v>
      </c>
      <c r="D362" s="80">
        <f t="shared" si="7"/>
        <v>0</v>
      </c>
      <c r="E362" s="80"/>
      <c r="F362" s="81"/>
      <c r="G362" s="81"/>
    </row>
    <row r="363" spans="1:7">
      <c r="A363" s="78" t="s">
        <v>198</v>
      </c>
      <c r="B363" s="93"/>
      <c r="C363" s="79">
        <f t="shared" si="8"/>
        <v>0</v>
      </c>
      <c r="D363" s="80">
        <f t="shared" si="7"/>
        <v>0</v>
      </c>
      <c r="E363" s="80"/>
      <c r="F363" s="81"/>
      <c r="G363" s="81"/>
    </row>
    <row r="364" spans="1:7">
      <c r="A364" s="78" t="s">
        <v>199</v>
      </c>
      <c r="B364" s="93"/>
      <c r="C364" s="79">
        <f t="shared" si="8"/>
        <v>0</v>
      </c>
      <c r="D364" s="80">
        <f t="shared" si="7"/>
        <v>0</v>
      </c>
      <c r="E364" s="80"/>
      <c r="F364" s="81"/>
      <c r="G364" s="81"/>
    </row>
    <row r="365" spans="1:7">
      <c r="A365" s="78" t="s">
        <v>200</v>
      </c>
      <c r="B365" s="93"/>
      <c r="C365" s="79">
        <f t="shared" si="8"/>
        <v>0</v>
      </c>
      <c r="D365" s="80">
        <f t="shared" si="7"/>
        <v>0</v>
      </c>
      <c r="E365" s="80"/>
      <c r="F365" s="81"/>
      <c r="G365" s="81"/>
    </row>
    <row r="366" spans="1:7">
      <c r="A366" s="78" t="s">
        <v>201</v>
      </c>
      <c r="B366" s="93"/>
      <c r="C366" s="79">
        <f t="shared" si="8"/>
        <v>0</v>
      </c>
      <c r="D366" s="80">
        <f t="shared" si="7"/>
        <v>0</v>
      </c>
      <c r="E366" s="80"/>
      <c r="F366" s="81"/>
      <c r="G366" s="81"/>
    </row>
    <row r="367" spans="1:7">
      <c r="A367" s="78" t="s">
        <v>202</v>
      </c>
      <c r="B367" s="93"/>
      <c r="C367" s="79">
        <f t="shared" si="8"/>
        <v>0</v>
      </c>
      <c r="D367" s="80">
        <f t="shared" si="7"/>
        <v>0</v>
      </c>
      <c r="E367" s="80"/>
      <c r="F367" s="81"/>
      <c r="G367" s="81"/>
    </row>
    <row r="368" spans="1:7">
      <c r="A368" s="78" t="s">
        <v>203</v>
      </c>
      <c r="B368" s="93"/>
      <c r="C368" s="79">
        <f t="shared" si="8"/>
        <v>0</v>
      </c>
      <c r="D368" s="80">
        <f t="shared" si="7"/>
        <v>0</v>
      </c>
      <c r="E368" s="80"/>
      <c r="F368" s="81"/>
      <c r="G368" s="81"/>
    </row>
    <row r="369" spans="1:7">
      <c r="A369" s="78" t="s">
        <v>204</v>
      </c>
      <c r="B369" s="93"/>
      <c r="C369" s="79">
        <f t="shared" si="8"/>
        <v>0</v>
      </c>
      <c r="D369" s="80">
        <f t="shared" si="7"/>
        <v>0</v>
      </c>
      <c r="E369" s="80"/>
      <c r="F369" s="81"/>
      <c r="G369" s="81"/>
    </row>
    <row r="370" spans="1:7">
      <c r="A370" s="78" t="s">
        <v>205</v>
      </c>
      <c r="B370" s="93"/>
      <c r="C370" s="79">
        <f t="shared" si="8"/>
        <v>0</v>
      </c>
      <c r="D370" s="80">
        <f t="shared" si="7"/>
        <v>0</v>
      </c>
      <c r="E370" s="80"/>
      <c r="F370" s="81"/>
      <c r="G370" s="81"/>
    </row>
    <row r="371" spans="1:7">
      <c r="A371" s="78" t="s">
        <v>206</v>
      </c>
      <c r="B371" s="93"/>
      <c r="C371" s="79">
        <f t="shared" si="8"/>
        <v>0</v>
      </c>
      <c r="D371" s="80">
        <f t="shared" si="7"/>
        <v>0</v>
      </c>
      <c r="E371" s="80"/>
      <c r="F371" s="81"/>
      <c r="G371" s="81"/>
    </row>
    <row r="372" spans="1:7">
      <c r="A372" s="78" t="s">
        <v>207</v>
      </c>
      <c r="B372" s="93"/>
      <c r="C372" s="79">
        <f t="shared" si="8"/>
        <v>0</v>
      </c>
      <c r="D372" s="80">
        <f t="shared" si="7"/>
        <v>0</v>
      </c>
      <c r="E372" s="80"/>
      <c r="F372" s="81"/>
      <c r="G372" s="81"/>
    </row>
    <row r="373" spans="1:7">
      <c r="A373" s="78" t="s">
        <v>208</v>
      </c>
      <c r="B373" s="93"/>
      <c r="C373" s="79">
        <f t="shared" si="8"/>
        <v>0</v>
      </c>
      <c r="D373" s="80">
        <f t="shared" si="7"/>
        <v>0</v>
      </c>
      <c r="E373" s="80"/>
      <c r="F373" s="81"/>
      <c r="G373" s="81"/>
    </row>
    <row r="374" spans="1:7">
      <c r="A374" s="78" t="s">
        <v>209</v>
      </c>
      <c r="B374" s="93"/>
      <c r="C374" s="79">
        <f t="shared" si="8"/>
        <v>0</v>
      </c>
      <c r="D374" s="80">
        <f t="shared" si="7"/>
        <v>0</v>
      </c>
      <c r="E374" s="80"/>
      <c r="F374" s="81"/>
      <c r="G374" s="81"/>
    </row>
    <row r="375" spans="1:7">
      <c r="A375" s="78" t="s">
        <v>210</v>
      </c>
      <c r="B375" s="93"/>
      <c r="C375" s="79">
        <f t="shared" si="8"/>
        <v>0</v>
      </c>
      <c r="D375" s="80">
        <f t="shared" si="7"/>
        <v>0</v>
      </c>
      <c r="E375" s="80"/>
      <c r="F375" s="81"/>
      <c r="G375" s="81"/>
    </row>
    <row r="376" spans="1:7">
      <c r="A376" s="78" t="s">
        <v>211</v>
      </c>
      <c r="B376" s="93"/>
      <c r="C376" s="79">
        <f t="shared" si="8"/>
        <v>0</v>
      </c>
      <c r="D376" s="80">
        <f t="shared" si="7"/>
        <v>0</v>
      </c>
      <c r="E376" s="80"/>
      <c r="F376" s="81"/>
      <c r="G376" s="81"/>
    </row>
    <row r="377" spans="1:7">
      <c r="A377" s="78" t="s">
        <v>212</v>
      </c>
      <c r="B377" s="93"/>
      <c r="C377" s="79">
        <f t="shared" si="8"/>
        <v>0</v>
      </c>
      <c r="D377" s="80">
        <f t="shared" si="7"/>
        <v>0</v>
      </c>
      <c r="E377" s="80"/>
      <c r="F377" s="81"/>
      <c r="G377" s="81"/>
    </row>
    <row r="378" spans="1:7">
      <c r="A378" s="78" t="s">
        <v>213</v>
      </c>
      <c r="B378" s="93"/>
      <c r="C378" s="79">
        <f t="shared" si="8"/>
        <v>0</v>
      </c>
      <c r="D378" s="80">
        <f t="shared" si="7"/>
        <v>0</v>
      </c>
      <c r="E378" s="80"/>
      <c r="F378" s="81"/>
      <c r="G378" s="81"/>
    </row>
    <row r="379" spans="1:7">
      <c r="A379" s="78" t="s">
        <v>214</v>
      </c>
      <c r="B379" s="93"/>
      <c r="C379" s="79">
        <f t="shared" si="8"/>
        <v>0</v>
      </c>
      <c r="D379" s="80">
        <f t="shared" si="7"/>
        <v>0</v>
      </c>
      <c r="E379" s="80"/>
      <c r="F379" s="81"/>
      <c r="G379" s="81"/>
    </row>
    <row r="380" spans="1:7">
      <c r="A380" s="78" t="s">
        <v>215</v>
      </c>
      <c r="B380" s="93"/>
      <c r="C380" s="79">
        <f t="shared" si="8"/>
        <v>0</v>
      </c>
      <c r="D380" s="80">
        <f t="shared" si="7"/>
        <v>0</v>
      </c>
      <c r="E380" s="80"/>
      <c r="F380" s="81"/>
      <c r="G380" s="81"/>
    </row>
    <row r="381" spans="1:7">
      <c r="A381" s="78" t="s">
        <v>216</v>
      </c>
      <c r="B381" s="93"/>
      <c r="C381" s="79">
        <f t="shared" si="8"/>
        <v>0</v>
      </c>
      <c r="D381" s="80">
        <f t="shared" si="7"/>
        <v>0</v>
      </c>
      <c r="E381" s="80"/>
      <c r="F381" s="81"/>
      <c r="G381" s="81"/>
    </row>
    <row r="382" spans="1:7">
      <c r="A382" s="78" t="s">
        <v>217</v>
      </c>
      <c r="B382" s="93"/>
      <c r="C382" s="79">
        <f t="shared" si="8"/>
        <v>0</v>
      </c>
      <c r="D382" s="80">
        <f t="shared" si="7"/>
        <v>0</v>
      </c>
      <c r="E382" s="80"/>
      <c r="F382" s="81"/>
      <c r="G382" s="81"/>
    </row>
    <row r="383" spans="1:7">
      <c r="A383" s="78" t="s">
        <v>218</v>
      </c>
      <c r="B383" s="93"/>
      <c r="C383" s="79">
        <f t="shared" si="8"/>
        <v>0</v>
      </c>
      <c r="D383" s="80">
        <f t="shared" si="7"/>
        <v>0</v>
      </c>
      <c r="E383" s="80"/>
      <c r="F383" s="81"/>
      <c r="G383" s="81"/>
    </row>
    <row r="384" spans="1:7">
      <c r="A384" s="78" t="s">
        <v>219</v>
      </c>
      <c r="B384" s="93"/>
      <c r="C384" s="79">
        <f t="shared" si="8"/>
        <v>0</v>
      </c>
      <c r="D384" s="80">
        <f t="shared" si="7"/>
        <v>0</v>
      </c>
      <c r="E384" s="80"/>
      <c r="F384" s="81"/>
      <c r="G384" s="81"/>
    </row>
    <row r="385" spans="1:7">
      <c r="A385" s="78" t="s">
        <v>220</v>
      </c>
      <c r="B385" s="93"/>
      <c r="C385" s="79">
        <f t="shared" si="8"/>
        <v>0</v>
      </c>
      <c r="D385" s="80">
        <f t="shared" si="7"/>
        <v>0</v>
      </c>
      <c r="E385" s="80"/>
      <c r="F385" s="81"/>
      <c r="G385" s="81"/>
    </row>
    <row r="386" spans="1:7">
      <c r="A386" s="78" t="s">
        <v>221</v>
      </c>
      <c r="B386" s="284"/>
      <c r="C386" s="79">
        <f t="shared" si="8"/>
        <v>0</v>
      </c>
      <c r="D386" s="80">
        <f t="shared" si="7"/>
        <v>0</v>
      </c>
      <c r="E386" s="80"/>
      <c r="F386" s="81"/>
      <c r="G386" s="81"/>
    </row>
    <row r="387" spans="1:7">
      <c r="A387" s="78" t="s">
        <v>221</v>
      </c>
      <c r="B387" s="78"/>
      <c r="C387" s="79">
        <f t="shared" si="8"/>
        <v>0</v>
      </c>
      <c r="D387" s="117" t="s">
        <v>124</v>
      </c>
      <c r="E387" s="83"/>
      <c r="F387" s="84"/>
      <c r="G387" s="84"/>
    </row>
    <row r="388" spans="1:7">
      <c r="A388" s="78"/>
      <c r="B388" s="78"/>
      <c r="D388" s="78" t="s">
        <v>124</v>
      </c>
      <c r="E388" s="85"/>
      <c r="F388" s="86"/>
      <c r="G388" s="86"/>
    </row>
    <row r="389" ht="48" spans="1:7">
      <c r="A389" s="87" t="s">
        <v>233</v>
      </c>
      <c r="B389" s="78"/>
      <c r="D389" s="78" t="s">
        <v>124</v>
      </c>
      <c r="E389" s="127"/>
      <c r="F389" s="128"/>
      <c r="G389" s="129"/>
    </row>
    <row r="390" ht="48" spans="1:7">
      <c r="A390" s="87" t="s">
        <v>224</v>
      </c>
      <c r="B390" s="78"/>
      <c r="D390" s="83"/>
      <c r="E390" s="83"/>
      <c r="F390" s="84"/>
      <c r="G390" s="84"/>
    </row>
    <row r="391" ht="84" spans="1:7">
      <c r="A391" s="106" t="s">
        <v>225</v>
      </c>
      <c r="B391" s="78"/>
      <c r="D391" s="83"/>
      <c r="E391" s="83">
        <f>0.6*E389</f>
        <v>0</v>
      </c>
      <c r="F391" s="84">
        <f>0.6*F389</f>
        <v>0</v>
      </c>
      <c r="G391" s="84"/>
    </row>
    <row r="394" spans="1:2">
      <c r="A394" s="531" t="s">
        <v>226</v>
      </c>
      <c r="B394" s="95" t="e">
        <f>AVERAGE(B342:B381)</f>
        <v>#DIV/0!</v>
      </c>
    </row>
    <row r="395" spans="1:2">
      <c r="A395" s="531" t="s">
        <v>227</v>
      </c>
      <c r="B395" s="96" t="e">
        <f>AVERAGE(B347:B376)</f>
        <v>#DIV/0!</v>
      </c>
    </row>
    <row r="396" spans="1:2">
      <c r="A396" s="531" t="s">
        <v>228</v>
      </c>
      <c r="B396" s="96" t="e">
        <f>AVERAGE(B353:B371)</f>
        <v>#DIV/0!</v>
      </c>
    </row>
    <row r="401" spans="1:7">
      <c r="A401" s="83" t="s">
        <v>165</v>
      </c>
      <c r="B401" s="316" t="s">
        <v>366</v>
      </c>
      <c r="C401" s="316"/>
      <c r="D401" s="316"/>
      <c r="E401" s="86">
        <f>(1-E456)^(1/3)-1</f>
        <v>0</v>
      </c>
      <c r="F401" s="86">
        <f>(1-F456)^(1/3)-1</f>
        <v>0</v>
      </c>
      <c r="G401" s="86"/>
    </row>
    <row r="402" ht="72" spans="1:7">
      <c r="A402" s="83"/>
      <c r="B402" s="83" t="s">
        <v>167</v>
      </c>
      <c r="C402">
        <v>0</v>
      </c>
      <c r="D402" s="83" t="s">
        <v>169</v>
      </c>
      <c r="E402" s="83" t="s">
        <v>169</v>
      </c>
      <c r="F402" s="84" t="s">
        <v>169</v>
      </c>
      <c r="G402" s="84"/>
    </row>
    <row r="403" ht="60" spans="1:7">
      <c r="A403" s="83"/>
      <c r="B403" s="78" t="s">
        <v>367</v>
      </c>
      <c r="C403" s="79" t="str">
        <f>B402</f>
        <v>Фактическое удельное годовое потребление</v>
      </c>
      <c r="D403" s="141" t="s">
        <v>171</v>
      </c>
      <c r="E403" s="534" t="s">
        <v>227</v>
      </c>
      <c r="F403" s="84"/>
      <c r="G403" s="267"/>
    </row>
    <row r="404" ht="24" spans="1:7">
      <c r="A404" s="75">
        <v>1</v>
      </c>
      <c r="B404" s="75"/>
      <c r="C404" s="79" t="str">
        <f t="shared" ref="C404:C452" si="9">B403</f>
        <v>кгут / кв. м</v>
      </c>
      <c r="D404" s="78" t="s">
        <v>367</v>
      </c>
      <c r="E404" s="76">
        <v>5</v>
      </c>
      <c r="F404" s="77">
        <v>6</v>
      </c>
      <c r="G404" s="77"/>
    </row>
    <row r="405" spans="1:7">
      <c r="A405" s="530" t="s">
        <v>172</v>
      </c>
      <c r="B405" s="78"/>
      <c r="C405" s="79">
        <f t="shared" si="9"/>
        <v>0</v>
      </c>
      <c r="D405" s="75"/>
      <c r="E405" s="80"/>
      <c r="F405" s="81"/>
      <c r="G405" s="81"/>
    </row>
    <row r="406" spans="1:7">
      <c r="A406" s="530" t="s">
        <v>173</v>
      </c>
      <c r="B406" s="78"/>
      <c r="C406" s="79">
        <f t="shared" si="9"/>
        <v>0</v>
      </c>
      <c r="D406" s="78"/>
      <c r="E406" s="80"/>
      <c r="F406" s="81"/>
      <c r="G406" s="81"/>
    </row>
    <row r="407" spans="1:7">
      <c r="A407" s="530" t="s">
        <v>174</v>
      </c>
      <c r="B407" s="78"/>
      <c r="C407" s="79">
        <f t="shared" si="9"/>
        <v>0</v>
      </c>
      <c r="D407" s="78"/>
      <c r="E407" s="80"/>
      <c r="F407" s="81"/>
      <c r="G407" s="81"/>
    </row>
    <row r="408" spans="1:7">
      <c r="A408" s="530" t="s">
        <v>175</v>
      </c>
      <c r="B408" s="78"/>
      <c r="C408" s="79">
        <f t="shared" si="9"/>
        <v>0</v>
      </c>
      <c r="D408" s="78"/>
      <c r="E408" s="80"/>
      <c r="F408" s="81"/>
      <c r="G408" s="81"/>
    </row>
    <row r="409" spans="1:7">
      <c r="A409" s="530" t="s">
        <v>176</v>
      </c>
      <c r="B409" s="78"/>
      <c r="C409" s="79">
        <f t="shared" si="9"/>
        <v>0</v>
      </c>
      <c r="D409" s="78"/>
      <c r="E409" s="80"/>
      <c r="F409" s="81"/>
      <c r="G409" s="81"/>
    </row>
    <row r="410" spans="1:7">
      <c r="A410" s="530" t="s">
        <v>177</v>
      </c>
      <c r="B410" s="78"/>
      <c r="C410" s="79">
        <f t="shared" si="9"/>
        <v>0</v>
      </c>
      <c r="D410" s="78"/>
      <c r="E410" s="80"/>
      <c r="F410" s="81"/>
      <c r="G410" s="81"/>
    </row>
    <row r="411" spans="1:7">
      <c r="A411" s="530" t="s">
        <v>178</v>
      </c>
      <c r="B411" s="78"/>
      <c r="C411" s="79">
        <f t="shared" si="9"/>
        <v>0</v>
      </c>
      <c r="D411" s="78"/>
      <c r="E411" s="80"/>
      <c r="F411" s="81"/>
      <c r="G411" s="81"/>
    </row>
    <row r="412" spans="1:7">
      <c r="A412" s="78" t="s">
        <v>179</v>
      </c>
      <c r="B412" s="78"/>
      <c r="C412" s="79">
        <f t="shared" si="9"/>
        <v>0</v>
      </c>
      <c r="D412" s="78"/>
      <c r="E412" s="80"/>
      <c r="F412" s="81"/>
      <c r="G412" s="81"/>
    </row>
    <row r="413" spans="1:7">
      <c r="A413" s="78" t="s">
        <v>180</v>
      </c>
      <c r="B413" s="78"/>
      <c r="C413" s="79">
        <f t="shared" si="9"/>
        <v>0</v>
      </c>
      <c r="D413" s="78"/>
      <c r="E413" s="80"/>
      <c r="F413" s="81"/>
      <c r="G413" s="81"/>
    </row>
    <row r="414" spans="1:7">
      <c r="A414" s="78" t="s">
        <v>181</v>
      </c>
      <c r="B414" s="78"/>
      <c r="C414" s="79">
        <f t="shared" si="9"/>
        <v>0</v>
      </c>
      <c r="D414" s="78"/>
      <c r="E414" s="80"/>
      <c r="F414" s="81"/>
      <c r="G414" s="81"/>
    </row>
    <row r="415" spans="1:7">
      <c r="A415" s="78" t="s">
        <v>182</v>
      </c>
      <c r="B415" s="78"/>
      <c r="C415" s="79">
        <f t="shared" si="9"/>
        <v>0</v>
      </c>
      <c r="D415" s="78"/>
      <c r="E415" s="80"/>
      <c r="F415" s="81"/>
      <c r="G415" s="81"/>
    </row>
    <row r="416" spans="1:7">
      <c r="A416" s="78" t="s">
        <v>183</v>
      </c>
      <c r="B416" s="78"/>
      <c r="C416" s="79">
        <f t="shared" si="9"/>
        <v>0</v>
      </c>
      <c r="D416" s="78"/>
      <c r="E416" s="80"/>
      <c r="F416" s="81"/>
      <c r="G416" s="81"/>
    </row>
    <row r="417" spans="1:7">
      <c r="A417" s="78" t="s">
        <v>184</v>
      </c>
      <c r="B417" s="78"/>
      <c r="C417" s="79">
        <f t="shared" si="9"/>
        <v>0</v>
      </c>
      <c r="D417" s="78"/>
      <c r="E417" s="80"/>
      <c r="F417" s="81"/>
      <c r="G417" s="81"/>
    </row>
    <row r="418" spans="1:7">
      <c r="A418" s="78" t="s">
        <v>185</v>
      </c>
      <c r="B418" s="78"/>
      <c r="C418" s="79">
        <f t="shared" si="9"/>
        <v>0</v>
      </c>
      <c r="D418" s="78"/>
      <c r="E418" s="80"/>
      <c r="F418" s="81"/>
      <c r="G418" s="81"/>
    </row>
    <row r="419" spans="1:7">
      <c r="A419" s="78" t="s">
        <v>186</v>
      </c>
      <c r="B419" s="78"/>
      <c r="C419" s="79">
        <f t="shared" si="9"/>
        <v>0</v>
      </c>
      <c r="D419" s="78"/>
      <c r="E419" s="80"/>
      <c r="F419" s="81"/>
      <c r="G419" s="81"/>
    </row>
    <row r="420" spans="1:7">
      <c r="A420" s="78" t="s">
        <v>187</v>
      </c>
      <c r="B420" s="78"/>
      <c r="C420" s="79">
        <f t="shared" si="9"/>
        <v>0</v>
      </c>
      <c r="D420" s="78"/>
      <c r="E420" s="80"/>
      <c r="F420" s="81"/>
      <c r="G420" s="81"/>
    </row>
    <row r="421" spans="1:7">
      <c r="A421" s="78" t="s">
        <v>188</v>
      </c>
      <c r="B421" s="78"/>
      <c r="C421" s="79">
        <f t="shared" si="9"/>
        <v>0</v>
      </c>
      <c r="D421" s="78"/>
      <c r="E421" s="80"/>
      <c r="F421" s="81"/>
      <c r="G421" s="81"/>
    </row>
    <row r="422" spans="1:7">
      <c r="A422" s="78" t="s">
        <v>189</v>
      </c>
      <c r="B422" s="78"/>
      <c r="C422" s="79">
        <f t="shared" si="9"/>
        <v>0</v>
      </c>
      <c r="D422" s="78"/>
      <c r="E422" s="80"/>
      <c r="F422" s="81"/>
      <c r="G422" s="81"/>
    </row>
    <row r="423" spans="1:7">
      <c r="A423" s="78" t="s">
        <v>190</v>
      </c>
      <c r="B423" s="78"/>
      <c r="C423" s="79">
        <f t="shared" si="9"/>
        <v>0</v>
      </c>
      <c r="D423" s="78"/>
      <c r="E423" s="80"/>
      <c r="F423" s="81"/>
      <c r="G423" s="81"/>
    </row>
    <row r="424" spans="1:7">
      <c r="A424" s="78" t="s">
        <v>191</v>
      </c>
      <c r="B424" s="78"/>
      <c r="C424" s="79">
        <f t="shared" si="9"/>
        <v>0</v>
      </c>
      <c r="D424" s="78"/>
      <c r="E424" s="80"/>
      <c r="F424" s="81"/>
      <c r="G424" s="81"/>
    </row>
    <row r="425" spans="1:7">
      <c r="A425" s="78" t="s">
        <v>192</v>
      </c>
      <c r="B425" s="78"/>
      <c r="C425" s="79">
        <f t="shared" si="9"/>
        <v>0</v>
      </c>
      <c r="D425" s="78"/>
      <c r="E425" s="80"/>
      <c r="F425" s="81"/>
      <c r="G425" s="81"/>
    </row>
    <row r="426" spans="1:7">
      <c r="A426" s="78" t="s">
        <v>193</v>
      </c>
      <c r="B426" s="78"/>
      <c r="C426" s="79">
        <f t="shared" si="9"/>
        <v>0</v>
      </c>
      <c r="D426" s="78"/>
      <c r="E426" s="80"/>
      <c r="F426" s="81"/>
      <c r="G426" s="81"/>
    </row>
    <row r="427" spans="1:7">
      <c r="A427" s="78" t="s">
        <v>194</v>
      </c>
      <c r="B427" s="78"/>
      <c r="C427" s="79">
        <f t="shared" si="9"/>
        <v>0</v>
      </c>
      <c r="D427" s="78"/>
      <c r="E427" s="80"/>
      <c r="F427" s="81"/>
      <c r="G427" s="81"/>
    </row>
    <row r="428" spans="1:7">
      <c r="A428" s="78" t="s">
        <v>195</v>
      </c>
      <c r="B428" s="78"/>
      <c r="C428" s="79">
        <f t="shared" si="9"/>
        <v>0</v>
      </c>
      <c r="D428" s="78"/>
      <c r="E428" s="80"/>
      <c r="F428" s="81"/>
      <c r="G428" s="81"/>
    </row>
    <row r="429" spans="1:7">
      <c r="A429" s="78" t="s">
        <v>196</v>
      </c>
      <c r="B429" s="78"/>
      <c r="C429" s="79">
        <f t="shared" si="9"/>
        <v>0</v>
      </c>
      <c r="D429" s="78"/>
      <c r="E429" s="80"/>
      <c r="F429" s="81"/>
      <c r="G429" s="81"/>
    </row>
    <row r="430" spans="1:7">
      <c r="A430" s="78" t="s">
        <v>197</v>
      </c>
      <c r="B430" s="78"/>
      <c r="C430" s="79">
        <f t="shared" si="9"/>
        <v>0</v>
      </c>
      <c r="D430" s="78"/>
      <c r="E430" s="80"/>
      <c r="F430" s="81"/>
      <c r="G430" s="81"/>
    </row>
    <row r="431" spans="1:7">
      <c r="A431" s="78" t="s">
        <v>198</v>
      </c>
      <c r="B431" s="78"/>
      <c r="C431" s="79">
        <f t="shared" si="9"/>
        <v>0</v>
      </c>
      <c r="D431" s="78"/>
      <c r="E431" s="80"/>
      <c r="F431" s="81"/>
      <c r="G431" s="81"/>
    </row>
    <row r="432" spans="1:7">
      <c r="A432" s="78" t="s">
        <v>199</v>
      </c>
      <c r="B432" s="78"/>
      <c r="C432" s="79">
        <f t="shared" si="9"/>
        <v>0</v>
      </c>
      <c r="D432" s="78"/>
      <c r="E432" s="80"/>
      <c r="F432" s="81"/>
      <c r="G432" s="81"/>
    </row>
    <row r="433" spans="1:7">
      <c r="A433" s="78" t="s">
        <v>200</v>
      </c>
      <c r="B433" s="78"/>
      <c r="C433" s="79">
        <f t="shared" si="9"/>
        <v>0</v>
      </c>
      <c r="D433" s="78"/>
      <c r="E433" s="80"/>
      <c r="F433" s="81"/>
      <c r="G433" s="81"/>
    </row>
    <row r="434" spans="1:7">
      <c r="A434" s="78" t="s">
        <v>201</v>
      </c>
      <c r="B434" s="78"/>
      <c r="C434" s="79">
        <f t="shared" si="9"/>
        <v>0</v>
      </c>
      <c r="D434" s="78"/>
      <c r="E434" s="80"/>
      <c r="F434" s="81"/>
      <c r="G434" s="81"/>
    </row>
    <row r="435" spans="1:7">
      <c r="A435" s="78" t="s">
        <v>202</v>
      </c>
      <c r="B435" s="78"/>
      <c r="C435" s="79">
        <f t="shared" si="9"/>
        <v>0</v>
      </c>
      <c r="D435" s="78"/>
      <c r="E435" s="80"/>
      <c r="F435" s="81"/>
      <c r="G435" s="81"/>
    </row>
    <row r="436" spans="1:7">
      <c r="A436" s="78" t="s">
        <v>203</v>
      </c>
      <c r="B436" s="78"/>
      <c r="C436" s="79">
        <f t="shared" si="9"/>
        <v>0</v>
      </c>
      <c r="D436" s="78"/>
      <c r="E436" s="80"/>
      <c r="F436" s="81"/>
      <c r="G436" s="81"/>
    </row>
    <row r="437" spans="1:7">
      <c r="A437" s="78" t="s">
        <v>204</v>
      </c>
      <c r="B437" s="78"/>
      <c r="C437" s="79">
        <f t="shared" si="9"/>
        <v>0</v>
      </c>
      <c r="D437" s="78"/>
      <c r="E437" s="80"/>
      <c r="F437" s="81"/>
      <c r="G437" s="81"/>
    </row>
    <row r="438" spans="1:7">
      <c r="A438" s="78" t="s">
        <v>205</v>
      </c>
      <c r="B438" s="78"/>
      <c r="C438" s="79">
        <f t="shared" si="9"/>
        <v>0</v>
      </c>
      <c r="D438" s="78"/>
      <c r="E438" s="80"/>
      <c r="F438" s="81"/>
      <c r="G438" s="81"/>
    </row>
    <row r="439" spans="1:7">
      <c r="A439" s="78" t="s">
        <v>206</v>
      </c>
      <c r="B439" s="78"/>
      <c r="C439" s="79">
        <f t="shared" si="9"/>
        <v>0</v>
      </c>
      <c r="D439" s="78"/>
      <c r="E439" s="80"/>
      <c r="F439" s="81"/>
      <c r="G439" s="81"/>
    </row>
    <row r="440" spans="1:7">
      <c r="A440" s="78" t="s">
        <v>207</v>
      </c>
      <c r="B440" s="78"/>
      <c r="C440" s="79">
        <f t="shared" si="9"/>
        <v>0</v>
      </c>
      <c r="D440" s="78"/>
      <c r="E440" s="80"/>
      <c r="F440" s="81"/>
      <c r="G440" s="81"/>
    </row>
    <row r="441" spans="1:7">
      <c r="A441" s="78" t="s">
        <v>208</v>
      </c>
      <c r="B441" s="78"/>
      <c r="C441" s="79">
        <f t="shared" si="9"/>
        <v>0</v>
      </c>
      <c r="D441" s="78"/>
      <c r="E441" s="80"/>
      <c r="F441" s="81"/>
      <c r="G441" s="81"/>
    </row>
    <row r="442" spans="1:7">
      <c r="A442" s="78" t="s">
        <v>209</v>
      </c>
      <c r="B442" s="78"/>
      <c r="C442" s="79">
        <f t="shared" si="9"/>
        <v>0</v>
      </c>
      <c r="D442" s="78"/>
      <c r="E442" s="80"/>
      <c r="F442" s="81"/>
      <c r="G442" s="81"/>
    </row>
    <row r="443" spans="1:7">
      <c r="A443" s="78" t="s">
        <v>210</v>
      </c>
      <c r="B443" s="78"/>
      <c r="C443" s="79">
        <f t="shared" si="9"/>
        <v>0</v>
      </c>
      <c r="D443" s="78"/>
      <c r="E443" s="80"/>
      <c r="F443" s="81"/>
      <c r="G443" s="81"/>
    </row>
    <row r="444" spans="1:7">
      <c r="A444" s="78" t="s">
        <v>211</v>
      </c>
      <c r="B444" s="78"/>
      <c r="C444" s="79">
        <f t="shared" si="9"/>
        <v>0</v>
      </c>
      <c r="D444" s="78"/>
      <c r="E444" s="80"/>
      <c r="F444" s="81"/>
      <c r="G444" s="81"/>
    </row>
    <row r="445" spans="1:7">
      <c r="A445" s="78" t="s">
        <v>212</v>
      </c>
      <c r="B445" s="78"/>
      <c r="C445" s="79">
        <f t="shared" si="9"/>
        <v>0</v>
      </c>
      <c r="D445" s="78"/>
      <c r="E445" s="80"/>
      <c r="F445" s="81"/>
      <c r="G445" s="81"/>
    </row>
    <row r="446" spans="1:7">
      <c r="A446" s="78" t="s">
        <v>213</v>
      </c>
      <c r="B446" s="78"/>
      <c r="C446" s="79">
        <f t="shared" si="9"/>
        <v>0</v>
      </c>
      <c r="D446" s="78"/>
      <c r="E446" s="80"/>
      <c r="F446" s="81"/>
      <c r="G446" s="81"/>
    </row>
    <row r="447" spans="1:7">
      <c r="A447" s="78" t="s">
        <v>214</v>
      </c>
      <c r="B447" s="78"/>
      <c r="C447" s="79">
        <f t="shared" si="9"/>
        <v>0</v>
      </c>
      <c r="D447" s="78"/>
      <c r="E447" s="80"/>
      <c r="F447" s="81"/>
      <c r="G447" s="81"/>
    </row>
    <row r="448" spans="1:7">
      <c r="A448" s="78" t="s">
        <v>215</v>
      </c>
      <c r="B448" s="78"/>
      <c r="C448" s="79">
        <f t="shared" si="9"/>
        <v>0</v>
      </c>
      <c r="D448" s="78"/>
      <c r="E448" s="80"/>
      <c r="F448" s="81"/>
      <c r="G448" s="81"/>
    </row>
    <row r="449" spans="1:7">
      <c r="A449" s="78" t="s">
        <v>216</v>
      </c>
      <c r="B449" s="78"/>
      <c r="C449" s="79">
        <f t="shared" si="9"/>
        <v>0</v>
      </c>
      <c r="D449" s="78"/>
      <c r="E449" s="80"/>
      <c r="F449" s="81"/>
      <c r="G449" s="81"/>
    </row>
    <row r="450" spans="1:7">
      <c r="A450" s="78" t="s">
        <v>217</v>
      </c>
      <c r="B450" s="78"/>
      <c r="C450" s="79">
        <f t="shared" si="9"/>
        <v>0</v>
      </c>
      <c r="D450" s="78"/>
      <c r="E450" s="80"/>
      <c r="F450" s="81"/>
      <c r="G450" s="81"/>
    </row>
    <row r="451" spans="1:7">
      <c r="A451" s="78" t="s">
        <v>218</v>
      </c>
      <c r="B451" s="78"/>
      <c r="C451" s="79">
        <f t="shared" si="9"/>
        <v>0</v>
      </c>
      <c r="D451" s="78"/>
      <c r="E451" s="80"/>
      <c r="F451" s="81"/>
      <c r="G451" s="81"/>
    </row>
    <row r="452" spans="1:7">
      <c r="A452" s="78" t="s">
        <v>219</v>
      </c>
      <c r="B452" s="78"/>
      <c r="C452" s="79">
        <f t="shared" si="9"/>
        <v>0</v>
      </c>
      <c r="D452" s="78"/>
      <c r="E452" s="80"/>
      <c r="F452" s="81"/>
      <c r="G452" s="81"/>
    </row>
    <row r="453" spans="1:7">
      <c r="A453" s="78" t="s">
        <v>220</v>
      </c>
      <c r="B453" s="78"/>
      <c r="D453" s="78"/>
      <c r="E453" s="80"/>
      <c r="F453" s="81"/>
      <c r="G453" s="81"/>
    </row>
    <row r="454" spans="1:7">
      <c r="A454" s="78" t="s">
        <v>221</v>
      </c>
      <c r="B454" s="78"/>
      <c r="D454" s="78"/>
      <c r="E454" s="80"/>
      <c r="F454" s="81"/>
      <c r="G454" s="81"/>
    </row>
    <row r="455" spans="1:7">
      <c r="A455" s="78" t="s">
        <v>221</v>
      </c>
      <c r="B455" s="78"/>
      <c r="D455" s="117"/>
      <c r="E455" s="83"/>
      <c r="F455" s="84"/>
      <c r="G455" s="84"/>
    </row>
    <row r="456" spans="1:7">
      <c r="A456" s="78"/>
      <c r="B456" s="78"/>
      <c r="D456" s="78"/>
      <c r="E456" s="85"/>
      <c r="F456" s="86"/>
      <c r="G456" s="86"/>
    </row>
    <row r="457" ht="48" spans="1:7">
      <c r="A457" s="87" t="s">
        <v>233</v>
      </c>
      <c r="B457" s="78"/>
      <c r="D457" s="78"/>
      <c r="E457" s="127"/>
      <c r="F457" s="128"/>
      <c r="G457" s="129"/>
    </row>
    <row r="458" ht="48" spans="1:7">
      <c r="A458" s="87" t="s">
        <v>224</v>
      </c>
      <c r="B458" s="78"/>
      <c r="D458" s="83"/>
      <c r="E458" s="83"/>
      <c r="F458" s="84"/>
      <c r="G458" s="84"/>
    </row>
    <row r="459" ht="84" spans="1:7">
      <c r="A459" s="106" t="s">
        <v>225</v>
      </c>
      <c r="B459" s="78"/>
      <c r="D459" s="83"/>
      <c r="E459" s="83">
        <f>0.6*E457</f>
        <v>0</v>
      </c>
      <c r="F459" s="84">
        <f>0.6*F457</f>
        <v>0</v>
      </c>
      <c r="G459" s="84"/>
    </row>
    <row r="462" spans="1:2">
      <c r="A462" s="531" t="s">
        <v>226</v>
      </c>
      <c r="B462" s="95" t="e">
        <f>AVERAGE(B410:B449)</f>
        <v>#DIV/0!</v>
      </c>
    </row>
    <row r="463" spans="1:2">
      <c r="A463" s="531" t="s">
        <v>227</v>
      </c>
      <c r="B463" s="96" t="e">
        <f>AVERAGE(B415:B444)</f>
        <v>#DIV/0!</v>
      </c>
    </row>
    <row r="464" spans="1:2">
      <c r="A464" s="531" t="s">
        <v>228</v>
      </c>
      <c r="B464" s="96" t="e">
        <f>AVERAGE(B421:B439)</f>
        <v>#DIV/0!</v>
      </c>
    </row>
  </sheetData>
  <mergeCells count="14">
    <mergeCell ref="B2:D2"/>
    <mergeCell ref="B69:D69"/>
    <mergeCell ref="B134:D134"/>
    <mergeCell ref="B200:D200"/>
    <mergeCell ref="B266:D266"/>
    <mergeCell ref="B333:D333"/>
    <mergeCell ref="B401:D401"/>
    <mergeCell ref="A2:A4"/>
    <mergeCell ref="A69:A71"/>
    <mergeCell ref="A134:A136"/>
    <mergeCell ref="A200:A202"/>
    <mergeCell ref="A266:A268"/>
    <mergeCell ref="A333:A335"/>
    <mergeCell ref="A401:A403"/>
  </mergeCells>
  <pageMargins left="0.7" right="0.7" top="0.75" bottom="0.75" header="0.3" footer="0.3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Лист8">
    <tabColor rgb="FF92D050"/>
  </sheetPr>
  <dimension ref="A1:G464"/>
  <sheetViews>
    <sheetView zoomScale="80" zoomScaleNormal="80" topLeftCell="A415" workbookViewId="0">
      <selection activeCell="E240" sqref="E239:I240"/>
    </sheetView>
  </sheetViews>
  <sheetFormatPr defaultColWidth="8.72380952380952" defaultRowHeight="15" outlineLevelCol="6"/>
  <cols>
    <col min="3" max="3" width="9.18095238095238"/>
    <col min="5" max="5" width="9.45714285714286" customWidth="1"/>
    <col min="6" max="6" width="8.72380952380952" style="64"/>
    <col min="7" max="7" width="9.45714285714286" style="64" customWidth="1"/>
  </cols>
  <sheetData>
    <row r="1" spans="4:5">
      <c r="D1" s="65">
        <v>0.1</v>
      </c>
      <c r="E1" s="65">
        <v>0.4</v>
      </c>
    </row>
    <row r="2" ht="23.25" customHeight="1" spans="1:7">
      <c r="A2" s="83" t="s">
        <v>165</v>
      </c>
      <c r="B2" s="311" t="s">
        <v>166</v>
      </c>
      <c r="C2" s="311"/>
      <c r="D2" s="311"/>
      <c r="E2" s="86">
        <f>(1-E57)^(1/3)-1</f>
        <v>-0.0300873735016655</v>
      </c>
      <c r="F2" s="86">
        <f>(1-F57)^(1/3)-1</f>
        <v>-0.0369460762588786</v>
      </c>
      <c r="G2" s="86"/>
    </row>
    <row r="3" ht="72.75" spans="1:7">
      <c r="A3" s="83"/>
      <c r="B3" s="83" t="s">
        <v>167</v>
      </c>
      <c r="C3" s="72"/>
      <c r="D3" s="83" t="s">
        <v>168</v>
      </c>
      <c r="E3" s="83" t="s">
        <v>169</v>
      </c>
      <c r="F3" s="84" t="s">
        <v>169</v>
      </c>
      <c r="G3" s="84"/>
    </row>
    <row r="4" ht="16.5" customHeight="1" spans="1:7">
      <c r="A4" s="83"/>
      <c r="B4" s="83" t="s">
        <v>170</v>
      </c>
      <c r="C4" s="72"/>
      <c r="D4" s="83" t="s">
        <v>171</v>
      </c>
      <c r="E4" s="83" t="s">
        <v>171</v>
      </c>
      <c r="F4" s="84" t="s">
        <v>171</v>
      </c>
      <c r="G4" s="84"/>
    </row>
    <row r="5" spans="1:7">
      <c r="A5" s="108">
        <v>1</v>
      </c>
      <c r="B5" s="109">
        <v>2</v>
      </c>
      <c r="C5" s="76"/>
      <c r="D5" s="109">
        <v>3</v>
      </c>
      <c r="E5" s="109">
        <v>4</v>
      </c>
      <c r="F5" s="110">
        <v>5</v>
      </c>
      <c r="G5" s="110"/>
    </row>
    <row r="6" spans="1:7">
      <c r="A6" s="530" t="s">
        <v>172</v>
      </c>
      <c r="B6" s="137">
        <v>0.6</v>
      </c>
      <c r="C6" s="79">
        <v>0</v>
      </c>
      <c r="D6" s="80">
        <v>0</v>
      </c>
      <c r="E6" s="80">
        <v>0</v>
      </c>
      <c r="F6" s="81">
        <v>0</v>
      </c>
      <c r="G6" s="81">
        <v>0</v>
      </c>
    </row>
    <row r="7" spans="1:7">
      <c r="A7" s="530" t="s">
        <v>173</v>
      </c>
      <c r="B7" s="79">
        <v>1.5</v>
      </c>
      <c r="C7" s="79">
        <f>B6</f>
        <v>0.6</v>
      </c>
      <c r="D7" s="80">
        <v>0</v>
      </c>
      <c r="E7" s="80">
        <v>0</v>
      </c>
      <c r="F7" s="81">
        <v>0</v>
      </c>
      <c r="G7" s="81">
        <v>0</v>
      </c>
    </row>
    <row r="8" spans="1:7">
      <c r="A8" s="530" t="s">
        <v>174</v>
      </c>
      <c r="B8" s="137">
        <v>2.5</v>
      </c>
      <c r="C8" s="79">
        <f t="shared" ref="C8:C56" si="0">B7</f>
        <v>1.5</v>
      </c>
      <c r="D8" s="80">
        <v>0</v>
      </c>
      <c r="E8" s="80">
        <v>0</v>
      </c>
      <c r="F8" s="81">
        <v>0</v>
      </c>
      <c r="G8" s="81">
        <v>0</v>
      </c>
    </row>
    <row r="9" spans="1:7">
      <c r="A9" s="530" t="s">
        <v>175</v>
      </c>
      <c r="B9" s="137">
        <v>3.4</v>
      </c>
      <c r="C9" s="79">
        <f t="shared" si="0"/>
        <v>2.5</v>
      </c>
      <c r="D9" s="80">
        <v>0</v>
      </c>
      <c r="E9" s="80">
        <v>0</v>
      </c>
      <c r="F9" s="81">
        <v>0</v>
      </c>
      <c r="G9" s="81">
        <v>0</v>
      </c>
    </row>
    <row r="10" spans="1:7">
      <c r="A10" s="530" t="s">
        <v>176</v>
      </c>
      <c r="B10" s="137">
        <v>4.1</v>
      </c>
      <c r="C10" s="79">
        <f t="shared" si="0"/>
        <v>3.4</v>
      </c>
      <c r="D10" s="80">
        <v>0</v>
      </c>
      <c r="E10" s="80">
        <v>0</v>
      </c>
      <c r="F10" s="81">
        <v>0</v>
      </c>
      <c r="G10" s="81">
        <v>0</v>
      </c>
    </row>
    <row r="11" spans="1:7">
      <c r="A11" s="530" t="s">
        <v>177</v>
      </c>
      <c r="B11" s="79">
        <v>5</v>
      </c>
      <c r="C11" s="79">
        <f t="shared" si="0"/>
        <v>4.1</v>
      </c>
      <c r="D11" s="80">
        <v>0</v>
      </c>
      <c r="E11" s="80">
        <v>0</v>
      </c>
      <c r="F11" s="81">
        <v>0</v>
      </c>
      <c r="G11" s="81">
        <v>0</v>
      </c>
    </row>
    <row r="12" spans="1:7">
      <c r="A12" s="530" t="s">
        <v>178</v>
      </c>
      <c r="B12" s="137">
        <v>5.9</v>
      </c>
      <c r="C12" s="79">
        <f t="shared" si="0"/>
        <v>5</v>
      </c>
      <c r="D12" s="80">
        <v>0</v>
      </c>
      <c r="E12" s="80">
        <v>0</v>
      </c>
      <c r="F12" s="81">
        <v>0</v>
      </c>
      <c r="G12" s="81">
        <v>0</v>
      </c>
    </row>
    <row r="13" spans="1:7">
      <c r="A13" s="78" t="s">
        <v>179</v>
      </c>
      <c r="B13" s="137">
        <v>6.7</v>
      </c>
      <c r="C13" s="79">
        <f t="shared" si="0"/>
        <v>5.9</v>
      </c>
      <c r="D13" s="80">
        <v>0</v>
      </c>
      <c r="E13" s="80">
        <v>0</v>
      </c>
      <c r="F13" s="81">
        <v>0</v>
      </c>
      <c r="G13" s="81">
        <v>0</v>
      </c>
    </row>
    <row r="14" spans="1:7">
      <c r="A14" s="78" t="s">
        <v>180</v>
      </c>
      <c r="B14" s="79">
        <v>7.6</v>
      </c>
      <c r="C14" s="79">
        <f t="shared" si="0"/>
        <v>6.7</v>
      </c>
      <c r="D14" s="80">
        <v>0</v>
      </c>
      <c r="E14" s="80">
        <v>0</v>
      </c>
      <c r="F14" s="81">
        <v>0</v>
      </c>
      <c r="G14" s="81">
        <v>0</v>
      </c>
    </row>
    <row r="15" spans="1:7">
      <c r="A15" s="78" t="s">
        <v>181</v>
      </c>
      <c r="B15" s="137">
        <v>8.2</v>
      </c>
      <c r="C15" s="79">
        <f t="shared" si="0"/>
        <v>7.6</v>
      </c>
      <c r="D15" s="80">
        <v>0</v>
      </c>
      <c r="E15" s="80">
        <v>0</v>
      </c>
      <c r="F15" s="81">
        <v>0</v>
      </c>
      <c r="G15" s="81">
        <v>0</v>
      </c>
    </row>
    <row r="16" spans="1:7">
      <c r="A16" s="78" t="s">
        <v>182</v>
      </c>
      <c r="B16" s="137">
        <v>8.8</v>
      </c>
      <c r="C16" s="79">
        <f t="shared" si="0"/>
        <v>8.2</v>
      </c>
      <c r="D16" s="80">
        <v>0</v>
      </c>
      <c r="E16" s="80">
        <v>0</v>
      </c>
      <c r="F16" s="81">
        <v>0</v>
      </c>
      <c r="G16" s="81">
        <v>0</v>
      </c>
    </row>
    <row r="17" spans="1:7">
      <c r="A17" s="78" t="s">
        <v>183</v>
      </c>
      <c r="B17" s="137">
        <v>9.5</v>
      </c>
      <c r="C17" s="79">
        <f t="shared" si="0"/>
        <v>8.8</v>
      </c>
      <c r="D17" s="80">
        <v>0</v>
      </c>
      <c r="E17" s="80">
        <v>0</v>
      </c>
      <c r="F17" s="81">
        <v>0</v>
      </c>
      <c r="G17" s="81">
        <v>0</v>
      </c>
    </row>
    <row r="18" spans="1:7">
      <c r="A18" s="78" t="s">
        <v>184</v>
      </c>
      <c r="B18" s="137">
        <v>10.4</v>
      </c>
      <c r="C18" s="79">
        <f t="shared" si="0"/>
        <v>9.5</v>
      </c>
      <c r="D18" s="80">
        <v>0</v>
      </c>
      <c r="E18" s="80">
        <v>0</v>
      </c>
      <c r="F18" s="81">
        <v>0</v>
      </c>
      <c r="G18" s="81">
        <v>0</v>
      </c>
    </row>
    <row r="19" spans="1:7">
      <c r="A19" s="78" t="s">
        <v>185</v>
      </c>
      <c r="B19" s="137">
        <v>11.2</v>
      </c>
      <c r="C19" s="79">
        <f t="shared" si="0"/>
        <v>10.4</v>
      </c>
      <c r="D19" s="80">
        <v>0</v>
      </c>
      <c r="E19" s="80">
        <v>0</v>
      </c>
      <c r="F19" s="81">
        <v>0</v>
      </c>
      <c r="G19" s="81">
        <v>0</v>
      </c>
    </row>
    <row r="20" spans="1:7">
      <c r="A20" s="78" t="s">
        <v>186</v>
      </c>
      <c r="B20" s="79">
        <v>12</v>
      </c>
      <c r="C20" s="79">
        <f t="shared" si="0"/>
        <v>11.2</v>
      </c>
      <c r="D20" s="80">
        <v>0</v>
      </c>
      <c r="E20" s="80">
        <v>0</v>
      </c>
      <c r="F20" s="81">
        <v>0</v>
      </c>
      <c r="G20" s="81">
        <v>0</v>
      </c>
    </row>
    <row r="21" spans="1:7">
      <c r="A21" s="78" t="s">
        <v>187</v>
      </c>
      <c r="B21" s="137">
        <v>12.9</v>
      </c>
      <c r="C21" s="79">
        <f t="shared" si="0"/>
        <v>12</v>
      </c>
      <c r="D21" s="80">
        <v>0</v>
      </c>
      <c r="E21" s="80">
        <v>0</v>
      </c>
      <c r="F21" s="81">
        <v>0</v>
      </c>
      <c r="G21" s="81">
        <v>0.00697674418604651</v>
      </c>
    </row>
    <row r="22" spans="1:7">
      <c r="A22" s="78" t="s">
        <v>188</v>
      </c>
      <c r="B22" s="137">
        <v>13.5</v>
      </c>
      <c r="C22" s="79">
        <f t="shared" si="0"/>
        <v>12.9</v>
      </c>
      <c r="D22" s="80">
        <v>0</v>
      </c>
      <c r="E22" s="80">
        <v>0</v>
      </c>
      <c r="F22" s="81">
        <v>0</v>
      </c>
      <c r="G22" s="81">
        <v>0.0111111111111111</v>
      </c>
    </row>
    <row r="23" spans="1:7">
      <c r="A23" s="78" t="s">
        <v>189</v>
      </c>
      <c r="B23" s="79">
        <v>14</v>
      </c>
      <c r="C23" s="79">
        <f t="shared" si="0"/>
        <v>13.5</v>
      </c>
      <c r="D23" s="80">
        <v>0</v>
      </c>
      <c r="E23" s="80">
        <v>0</v>
      </c>
      <c r="F23" s="81">
        <v>0</v>
      </c>
      <c r="G23" s="81">
        <v>0.0142857142857143</v>
      </c>
    </row>
    <row r="24" spans="1:7">
      <c r="A24" s="78" t="s">
        <v>190</v>
      </c>
      <c r="B24" s="137">
        <v>14.9</v>
      </c>
      <c r="C24" s="79">
        <f t="shared" si="0"/>
        <v>14</v>
      </c>
      <c r="D24" s="80">
        <v>0</v>
      </c>
      <c r="E24" s="80">
        <v>0</v>
      </c>
      <c r="F24" s="81">
        <v>0</v>
      </c>
      <c r="G24" s="81">
        <v>0.0194630872483221</v>
      </c>
    </row>
    <row r="25" spans="1:7">
      <c r="A25" s="78" t="s">
        <v>191</v>
      </c>
      <c r="B25" s="137">
        <v>15.7</v>
      </c>
      <c r="C25" s="79">
        <f t="shared" si="0"/>
        <v>14.9</v>
      </c>
      <c r="D25" s="80">
        <v>0</v>
      </c>
      <c r="E25" s="80">
        <v>0</v>
      </c>
      <c r="F25" s="81">
        <v>0.00443312101910828</v>
      </c>
      <c r="G25" s="81">
        <v>0.0235668789808917</v>
      </c>
    </row>
    <row r="26" spans="1:7">
      <c r="A26" s="78" t="s">
        <v>192</v>
      </c>
      <c r="B26" s="137">
        <v>16.7</v>
      </c>
      <c r="C26" s="79">
        <f t="shared" si="0"/>
        <v>15.7</v>
      </c>
      <c r="D26" s="80">
        <v>0</v>
      </c>
      <c r="E26" s="80">
        <v>0</v>
      </c>
      <c r="F26" s="81">
        <v>0.0101556886227545</v>
      </c>
      <c r="G26" s="81">
        <v>0.0281437125748503</v>
      </c>
    </row>
    <row r="27" spans="1:7">
      <c r="A27" s="78" t="s">
        <v>193</v>
      </c>
      <c r="B27" s="137">
        <v>17.5</v>
      </c>
      <c r="C27" s="79">
        <f t="shared" si="0"/>
        <v>16.7</v>
      </c>
      <c r="D27" s="80">
        <v>0</v>
      </c>
      <c r="E27" s="80">
        <v>0</v>
      </c>
      <c r="F27" s="81">
        <v>0.0142628571428571</v>
      </c>
      <c r="G27" s="81">
        <v>0.0314285714285714</v>
      </c>
    </row>
    <row r="28" spans="1:7">
      <c r="A28" s="78" t="s">
        <v>194</v>
      </c>
      <c r="B28" s="137">
        <v>19.2</v>
      </c>
      <c r="C28" s="79">
        <f t="shared" si="0"/>
        <v>17.5</v>
      </c>
      <c r="D28" s="80">
        <v>0.0206249999999999</v>
      </c>
      <c r="E28" s="80"/>
      <c r="F28" s="81"/>
      <c r="G28" s="81"/>
    </row>
    <row r="29" spans="1:7">
      <c r="A29" s="78" t="s">
        <v>195</v>
      </c>
      <c r="B29" s="137">
        <v>20.2</v>
      </c>
      <c r="C29" s="79">
        <f t="shared" si="0"/>
        <v>19.2</v>
      </c>
      <c r="D29" s="80">
        <v>0.069108910891089</v>
      </c>
      <c r="E29" s="80"/>
      <c r="F29" s="81"/>
      <c r="G29" s="81"/>
    </row>
    <row r="30" spans="1:7">
      <c r="A30" s="78" t="s">
        <v>196</v>
      </c>
      <c r="B30" s="79">
        <v>21.1</v>
      </c>
      <c r="C30" s="79">
        <f t="shared" si="0"/>
        <v>20.2</v>
      </c>
      <c r="D30" s="80">
        <v>0.108815165876777</v>
      </c>
      <c r="E30" s="80">
        <v>0.0108815165876777</v>
      </c>
      <c r="F30" s="81">
        <v>0.0288909952606635</v>
      </c>
      <c r="G30" s="81">
        <v>0.0587677725118484</v>
      </c>
    </row>
    <row r="31" spans="1:7">
      <c r="A31" s="78" t="s">
        <v>197</v>
      </c>
      <c r="B31" s="137">
        <v>22.6</v>
      </c>
      <c r="C31" s="79">
        <f t="shared" si="0"/>
        <v>21.1</v>
      </c>
      <c r="D31" s="80">
        <v>0.167964601769911</v>
      </c>
      <c r="E31" s="80">
        <v>0.0167964601769911</v>
      </c>
      <c r="F31" s="81">
        <v>0.0336106194690266</v>
      </c>
      <c r="G31" s="81">
        <v>0.0814159292035398</v>
      </c>
    </row>
    <row r="32" spans="1:7">
      <c r="A32" s="78" t="s">
        <v>198</v>
      </c>
      <c r="B32" s="137">
        <v>24.1</v>
      </c>
      <c r="C32" s="79">
        <f t="shared" si="0"/>
        <v>22.6</v>
      </c>
      <c r="D32" s="80">
        <v>0.219751037344398</v>
      </c>
      <c r="E32" s="80">
        <v>0.0219751037344398</v>
      </c>
      <c r="F32" s="81">
        <v>0.0377427385892116</v>
      </c>
      <c r="G32" s="81">
        <v>0.101244813278008</v>
      </c>
    </row>
    <row r="33" spans="1:7">
      <c r="A33" s="78" t="s">
        <v>199</v>
      </c>
      <c r="B33" s="137">
        <v>25.4</v>
      </c>
      <c r="C33" s="79">
        <f t="shared" si="0"/>
        <v>24.1</v>
      </c>
      <c r="D33" s="80">
        <v>0.259685039370079</v>
      </c>
      <c r="E33" s="80">
        <v>0.0259685039370079</v>
      </c>
      <c r="F33" s="81">
        <v>0.0455748031496063</v>
      </c>
      <c r="G33" s="81">
        <v>0.116535433070866</v>
      </c>
    </row>
    <row r="34" spans="1:7">
      <c r="A34" s="78" t="s">
        <v>200</v>
      </c>
      <c r="B34" s="137">
        <v>26.6</v>
      </c>
      <c r="C34" s="79">
        <f t="shared" si="0"/>
        <v>25.4</v>
      </c>
      <c r="D34" s="80">
        <v>0.293082706766917</v>
      </c>
      <c r="E34" s="80">
        <v>0.0293082706766917</v>
      </c>
      <c r="F34" s="81">
        <v>0.0615639097744361</v>
      </c>
      <c r="G34" s="81">
        <v>0.129323308270677</v>
      </c>
    </row>
    <row r="35" spans="1:7">
      <c r="A35" s="78" t="s">
        <v>201</v>
      </c>
      <c r="B35" s="137">
        <v>28.5</v>
      </c>
      <c r="C35" s="79">
        <f t="shared" si="0"/>
        <v>26.6</v>
      </c>
      <c r="D35" s="80">
        <v>0.340210526315789</v>
      </c>
      <c r="E35" s="80">
        <v>0.0340210526315789</v>
      </c>
      <c r="F35" s="81">
        <v>0.0841263157894737</v>
      </c>
      <c r="G35" s="81">
        <v>0.147368421052632</v>
      </c>
    </row>
    <row r="36" spans="1:7">
      <c r="A36" s="78" t="s">
        <v>202</v>
      </c>
      <c r="B36" s="137">
        <v>29.5</v>
      </c>
      <c r="C36" s="79">
        <f t="shared" si="0"/>
        <v>28.5</v>
      </c>
      <c r="D36" s="80">
        <v>0.362576271186441</v>
      </c>
      <c r="E36" s="80">
        <v>0.0362576271186441</v>
      </c>
      <c r="F36" s="81">
        <v>0.0948338983050847</v>
      </c>
      <c r="G36" s="81">
        <v>0.155932203389831</v>
      </c>
    </row>
    <row r="37" spans="1:7">
      <c r="A37" s="78" t="s">
        <v>203</v>
      </c>
      <c r="B37" s="137">
        <v>30.6</v>
      </c>
      <c r="C37" s="79">
        <f t="shared" si="0"/>
        <v>29.5</v>
      </c>
      <c r="D37" s="80">
        <v>0.385490196078431</v>
      </c>
      <c r="E37" s="80">
        <v>0.0385490196078431</v>
      </c>
      <c r="F37" s="81">
        <v>0.105803921568627</v>
      </c>
      <c r="G37" s="81">
        <v>0.164705882352941</v>
      </c>
    </row>
    <row r="38" spans="1:7">
      <c r="A38" s="78" t="s">
        <v>204</v>
      </c>
      <c r="B38" s="137">
        <v>32.3</v>
      </c>
      <c r="C38" s="79">
        <f t="shared" si="0"/>
        <v>30.6</v>
      </c>
      <c r="D38" s="80">
        <v>0.417832817337461</v>
      </c>
      <c r="E38" s="80">
        <v>0.0506996904024767</v>
      </c>
      <c r="F38" s="81">
        <v>0.121287925696594</v>
      </c>
      <c r="G38" s="81">
        <v>0.177089783281734</v>
      </c>
    </row>
    <row r="39" spans="1:7">
      <c r="A39" s="78" t="s">
        <v>205</v>
      </c>
      <c r="B39" s="137">
        <v>34.7</v>
      </c>
      <c r="C39" s="79">
        <f t="shared" si="0"/>
        <v>32.3</v>
      </c>
      <c r="D39" s="80">
        <v>0.458097982708934</v>
      </c>
      <c r="E39" s="80">
        <v>0.0748587896253602</v>
      </c>
      <c r="F39" s="81">
        <v>0.140564841498559</v>
      </c>
      <c r="G39" s="81">
        <v>0.192507204610951</v>
      </c>
    </row>
    <row r="40" spans="1:7">
      <c r="A40" s="78" t="s">
        <v>206</v>
      </c>
      <c r="B40" s="137">
        <v>37.8</v>
      </c>
      <c r="C40" s="79">
        <f t="shared" si="0"/>
        <v>34.7</v>
      </c>
      <c r="D40" s="80">
        <v>0.502539682539682</v>
      </c>
      <c r="E40" s="80">
        <v>0.101523809523809</v>
      </c>
      <c r="F40" s="81">
        <v>0.16184126984127</v>
      </c>
      <c r="G40" s="81">
        <v>0.20952380952381</v>
      </c>
    </row>
    <row r="41" spans="1:7">
      <c r="A41" s="78" t="s">
        <v>207</v>
      </c>
      <c r="B41" s="137">
        <v>39.8</v>
      </c>
      <c r="C41" s="79">
        <f t="shared" si="0"/>
        <v>37.8</v>
      </c>
      <c r="D41" s="80">
        <v>0.527537688442211</v>
      </c>
      <c r="E41" s="80">
        <v>0.116522613065327</v>
      </c>
      <c r="F41" s="81">
        <v>0.173809045226131</v>
      </c>
      <c r="G41" s="81">
        <v>0.219095477386935</v>
      </c>
    </row>
    <row r="42" spans="1:7">
      <c r="A42" s="78" t="s">
        <v>208</v>
      </c>
      <c r="B42" s="137">
        <v>42.7</v>
      </c>
      <c r="C42" s="79">
        <f t="shared" si="0"/>
        <v>39.8</v>
      </c>
      <c r="D42" s="80">
        <v>0.559625292740047</v>
      </c>
      <c r="E42" s="80">
        <v>0.135775175644028</v>
      </c>
      <c r="F42" s="81">
        <v>0.189170960187354</v>
      </c>
      <c r="G42" s="81">
        <v>0.231381733021077</v>
      </c>
    </row>
    <row r="43" spans="1:7">
      <c r="A43" s="78" t="s">
        <v>209</v>
      </c>
      <c r="B43" s="137">
        <v>47.6</v>
      </c>
      <c r="C43" s="79">
        <f t="shared" si="0"/>
        <v>42.7</v>
      </c>
      <c r="D43" s="80">
        <v>0.604957983193277</v>
      </c>
      <c r="E43" s="80">
        <v>0.162974789915966</v>
      </c>
      <c r="F43" s="81">
        <v>0.210873949579832</v>
      </c>
      <c r="G43" s="81">
        <v>0.248739495798319</v>
      </c>
    </row>
    <row r="44" spans="1:7">
      <c r="A44" s="78" t="s">
        <v>210</v>
      </c>
      <c r="B44" s="137">
        <v>52.3</v>
      </c>
      <c r="C44" s="79">
        <f t="shared" si="0"/>
        <v>47.6</v>
      </c>
      <c r="D44" s="80">
        <v>0.640458891013384</v>
      </c>
      <c r="E44" s="80">
        <v>0.184275334608031</v>
      </c>
      <c r="F44" s="81">
        <v>0.227869980879541</v>
      </c>
      <c r="G44" s="81">
        <v>0.262332695984704</v>
      </c>
    </row>
    <row r="45" spans="1:7">
      <c r="A45" s="78" t="s">
        <v>211</v>
      </c>
      <c r="B45" s="79">
        <v>58.1</v>
      </c>
      <c r="C45" s="79">
        <f t="shared" si="0"/>
        <v>52.3</v>
      </c>
      <c r="D45" s="80">
        <v>0.676351118760757</v>
      </c>
      <c r="E45" s="80">
        <v>0.205810671256454</v>
      </c>
      <c r="F45" s="81">
        <v>0.245053356282272</v>
      </c>
      <c r="G45" s="81">
        <v>0.276075731497418</v>
      </c>
    </row>
    <row r="46" spans="1:7">
      <c r="A46" s="78" t="s">
        <v>212</v>
      </c>
      <c r="B46" s="79">
        <v>66.9</v>
      </c>
      <c r="C46" s="79">
        <f t="shared" si="0"/>
        <v>58.1</v>
      </c>
      <c r="D46" s="80">
        <v>0.718923766816143</v>
      </c>
      <c r="E46" s="80">
        <v>0.231354260089686</v>
      </c>
      <c r="F46" s="81">
        <v>0.265434977578475</v>
      </c>
      <c r="G46" s="81">
        <v>0.29237668161435</v>
      </c>
    </row>
    <row r="47" spans="1:7">
      <c r="A47" s="78" t="s">
        <v>213</v>
      </c>
      <c r="B47" s="137">
        <v>76.8</v>
      </c>
      <c r="C47" s="79">
        <f t="shared" si="0"/>
        <v>66.9</v>
      </c>
      <c r="D47" s="80">
        <v>0.75515625</v>
      </c>
      <c r="E47" s="80">
        <v>0.25309375</v>
      </c>
      <c r="F47" s="81">
        <v>0.28278125</v>
      </c>
      <c r="G47" s="81">
        <v>0.30625</v>
      </c>
    </row>
    <row r="48" spans="1:7">
      <c r="A48" s="78" t="s">
        <v>214</v>
      </c>
      <c r="B48" s="137">
        <v>88.2</v>
      </c>
      <c r="C48" s="79">
        <f t="shared" si="0"/>
        <v>76.8</v>
      </c>
      <c r="D48" s="80">
        <v>0.786802721088435</v>
      </c>
      <c r="E48" s="80">
        <v>0.272081632653061</v>
      </c>
      <c r="F48" s="81">
        <v>0.297931972789116</v>
      </c>
      <c r="G48" s="81">
        <v>0.318367346938775</v>
      </c>
    </row>
    <row r="49" spans="1:7">
      <c r="A49" s="78" t="s">
        <v>215</v>
      </c>
      <c r="B49" s="137">
        <v>108.2</v>
      </c>
      <c r="C49" s="79">
        <f t="shared" si="0"/>
        <v>88.2</v>
      </c>
      <c r="D49" s="80">
        <v>0.826210720887246</v>
      </c>
      <c r="E49" s="80">
        <v>0.295726432532347</v>
      </c>
      <c r="F49" s="81">
        <v>0.316798521256932</v>
      </c>
      <c r="G49" s="81">
        <v>0.333456561922366</v>
      </c>
    </row>
    <row r="50" spans="1:7">
      <c r="A50" s="78" t="s">
        <v>216</v>
      </c>
      <c r="B50" s="137">
        <v>129.9</v>
      </c>
      <c r="C50" s="79">
        <f t="shared" si="0"/>
        <v>108.2</v>
      </c>
      <c r="D50" s="80">
        <v>0.855242494226328</v>
      </c>
      <c r="E50" s="80">
        <v>0.313145496535797</v>
      </c>
      <c r="F50" s="81">
        <v>0.330697459584296</v>
      </c>
      <c r="G50" s="81">
        <v>0.344572748267898</v>
      </c>
    </row>
    <row r="51" spans="1:7">
      <c r="A51" s="78" t="s">
        <v>217</v>
      </c>
      <c r="B51" s="137">
        <v>150.4</v>
      </c>
      <c r="C51" s="79">
        <f t="shared" si="0"/>
        <v>129.9</v>
      </c>
      <c r="D51" s="80">
        <v>0.874973404255319</v>
      </c>
      <c r="E51" s="80">
        <v>0.324984042553191</v>
      </c>
      <c r="F51" s="81">
        <v>0.340143617021277</v>
      </c>
      <c r="G51" s="81">
        <v>0.352127659574468</v>
      </c>
    </row>
    <row r="52" spans="1:7">
      <c r="A52" s="78" t="s">
        <v>218</v>
      </c>
      <c r="B52" s="79">
        <v>194</v>
      </c>
      <c r="C52" s="79">
        <f t="shared" si="0"/>
        <v>150.4</v>
      </c>
      <c r="D52" s="80">
        <v>0.903072164948454</v>
      </c>
      <c r="E52" s="80">
        <v>0.341843298969072</v>
      </c>
      <c r="F52" s="81">
        <v>0.35359587628866</v>
      </c>
      <c r="G52" s="81">
        <v>0.362886597938144</v>
      </c>
    </row>
    <row r="53" spans="1:7">
      <c r="A53" s="78" t="s">
        <v>219</v>
      </c>
      <c r="B53" s="137">
        <v>234.8</v>
      </c>
      <c r="C53" s="79">
        <f t="shared" si="0"/>
        <v>194</v>
      </c>
      <c r="D53" s="80">
        <v>0.919914821124361</v>
      </c>
      <c r="E53" s="80">
        <v>0.351948892674617</v>
      </c>
      <c r="F53" s="81">
        <v>0.361659284497445</v>
      </c>
      <c r="G53" s="81">
        <v>0.369335604770017</v>
      </c>
    </row>
    <row r="54" spans="1:7">
      <c r="A54" s="78" t="s">
        <v>220</v>
      </c>
      <c r="B54" s="137">
        <v>323.4</v>
      </c>
      <c r="C54" s="79">
        <f t="shared" si="0"/>
        <v>234.8</v>
      </c>
      <c r="D54" s="80">
        <v>0.941855287569573</v>
      </c>
      <c r="E54" s="80">
        <v>0.365113172541744</v>
      </c>
      <c r="F54" s="81">
        <v>0.372163265306122</v>
      </c>
      <c r="G54" s="81">
        <v>0.377736549165121</v>
      </c>
    </row>
    <row r="55" spans="1:7">
      <c r="A55" s="78" t="s">
        <v>221</v>
      </c>
      <c r="B55" s="137">
        <v>437.6</v>
      </c>
      <c r="C55" s="79">
        <f t="shared" si="0"/>
        <v>323.4</v>
      </c>
      <c r="D55" s="80">
        <v>0.957029250457038</v>
      </c>
      <c r="E55" s="80">
        <v>0.374217550274223</v>
      </c>
      <c r="F55" s="81">
        <v>0.379427787934187</v>
      </c>
      <c r="G55" s="81">
        <v>0.383546617915905</v>
      </c>
    </row>
    <row r="56" spans="1:7">
      <c r="A56" s="78" t="s">
        <v>221</v>
      </c>
      <c r="B56" s="82" t="s">
        <v>368</v>
      </c>
      <c r="C56" s="79">
        <f t="shared" si="0"/>
        <v>437.6</v>
      </c>
      <c r="D56" s="83">
        <v>49.1</v>
      </c>
      <c r="E56" s="83"/>
      <c r="F56" s="84"/>
      <c r="G56" s="84"/>
    </row>
    <row r="57" spans="1:7">
      <c r="A57" s="78"/>
      <c r="B57" s="82"/>
      <c r="C57" s="82"/>
      <c r="D57" s="83"/>
      <c r="E57" s="85">
        <v>0.0875736069685035</v>
      </c>
      <c r="F57" s="86">
        <v>0.106793622981656</v>
      </c>
      <c r="G57" s="86">
        <v>0.12857472477187</v>
      </c>
    </row>
    <row r="58" ht="48" spans="1:7">
      <c r="A58" s="87" t="s">
        <v>233</v>
      </c>
      <c r="B58" s="82">
        <v>20</v>
      </c>
      <c r="C58" s="82"/>
      <c r="D58" s="83"/>
      <c r="F58" s="128">
        <v>25.0066666666667</v>
      </c>
      <c r="G58" s="129">
        <v>20</v>
      </c>
    </row>
    <row r="59" ht="48" spans="1:7">
      <c r="A59" s="87" t="s">
        <v>224</v>
      </c>
      <c r="B59" s="82">
        <v>50.2</v>
      </c>
      <c r="C59" s="82"/>
      <c r="D59" s="83"/>
      <c r="E59" s="312">
        <v>31.34</v>
      </c>
      <c r="F59" s="84"/>
      <c r="G59" s="84"/>
    </row>
    <row r="60" ht="84" spans="1:7">
      <c r="A60" s="106" t="s">
        <v>225</v>
      </c>
      <c r="B60" s="78">
        <v>12</v>
      </c>
      <c r="C60" s="78"/>
      <c r="D60" s="83"/>
      <c r="E60" s="312">
        <v>18.804</v>
      </c>
      <c r="F60" s="84">
        <v>15.004</v>
      </c>
      <c r="G60" s="84">
        <v>12</v>
      </c>
    </row>
    <row r="62" ht="48.75" spans="1:2">
      <c r="A62" s="256" t="s">
        <v>224</v>
      </c>
      <c r="B62">
        <f>B59</f>
        <v>50.2</v>
      </c>
    </row>
    <row r="63" spans="1:3">
      <c r="A63" s="531" t="s">
        <v>226</v>
      </c>
      <c r="B63" s="95">
        <f>AVERAGE(B11:B50)</f>
        <v>31.34</v>
      </c>
      <c r="C63" s="95"/>
    </row>
    <row r="64" spans="1:3">
      <c r="A64" s="531" t="s">
        <v>227</v>
      </c>
      <c r="B64" s="96">
        <f>AVERAGE(B16:B45)</f>
        <v>25.0066666666667</v>
      </c>
      <c r="C64" s="96"/>
    </row>
    <row r="65" spans="1:3">
      <c r="A65" s="531" t="s">
        <v>228</v>
      </c>
      <c r="B65" s="96">
        <f>AVERAGE(B22:B40)</f>
        <v>23.4157894736842</v>
      </c>
      <c r="C65" s="96"/>
    </row>
    <row r="69" customHeight="1" spans="1:7">
      <c r="A69" s="83" t="s">
        <v>165</v>
      </c>
      <c r="B69" s="311" t="s">
        <v>229</v>
      </c>
      <c r="C69" s="311"/>
      <c r="D69" s="311"/>
      <c r="E69" s="98">
        <f>(1-E124)^(1/3)-1</f>
        <v>-0.0253432035614909</v>
      </c>
      <c r="F69" s="98">
        <f>(1-F124)^(1/3)-1</f>
        <v>-0.0262625308997648</v>
      </c>
      <c r="G69" s="98"/>
    </row>
    <row r="70" ht="72" spans="1:7">
      <c r="A70" s="83"/>
      <c r="B70" s="83" t="s">
        <v>167</v>
      </c>
      <c r="C70" s="83"/>
      <c r="D70" s="83" t="s">
        <v>168</v>
      </c>
      <c r="E70" s="83" t="s">
        <v>169</v>
      </c>
      <c r="F70" s="84" t="s">
        <v>169</v>
      </c>
      <c r="G70" s="84"/>
    </row>
    <row r="71" ht="24" spans="1:7">
      <c r="A71" s="83"/>
      <c r="B71" s="83" t="s">
        <v>230</v>
      </c>
      <c r="C71" s="83"/>
      <c r="D71" s="83" t="s">
        <v>171</v>
      </c>
      <c r="E71" s="83" t="s">
        <v>171</v>
      </c>
      <c r="F71" s="84" t="s">
        <v>171</v>
      </c>
      <c r="G71" s="84"/>
    </row>
    <row r="72" spans="1:7">
      <c r="A72" s="75">
        <v>1</v>
      </c>
      <c r="B72" s="76">
        <v>2</v>
      </c>
      <c r="C72" s="76"/>
      <c r="D72" s="76">
        <v>3</v>
      </c>
      <c r="E72" s="76">
        <v>4</v>
      </c>
      <c r="F72" s="77">
        <v>5</v>
      </c>
      <c r="G72" s="77"/>
    </row>
    <row r="73" spans="1:7">
      <c r="A73" s="530" t="s">
        <v>172</v>
      </c>
      <c r="B73" s="101">
        <v>11.7</v>
      </c>
      <c r="C73" s="102">
        <v>0</v>
      </c>
      <c r="D73" s="80">
        <v>0</v>
      </c>
      <c r="E73" s="80">
        <v>0</v>
      </c>
      <c r="F73" s="81">
        <v>0</v>
      </c>
      <c r="G73" s="81">
        <v>0</v>
      </c>
    </row>
    <row r="74" spans="1:7">
      <c r="A74" s="530" t="s">
        <v>173</v>
      </c>
      <c r="B74" s="138">
        <v>16.6</v>
      </c>
      <c r="C74" s="79">
        <f>B73</f>
        <v>11.7</v>
      </c>
      <c r="D74" s="80">
        <v>0</v>
      </c>
      <c r="E74" s="80">
        <v>0</v>
      </c>
      <c r="F74" s="81">
        <v>0</v>
      </c>
      <c r="G74" s="81">
        <v>0.000493975903614462</v>
      </c>
    </row>
    <row r="75" spans="1:7">
      <c r="A75" s="530" t="s">
        <v>174</v>
      </c>
      <c r="B75" s="138">
        <v>20.1</v>
      </c>
      <c r="C75" s="79">
        <f t="shared" ref="C75:C123" si="1">B74</f>
        <v>16.6</v>
      </c>
      <c r="D75" s="80">
        <v>0</v>
      </c>
      <c r="E75" s="80">
        <v>0</v>
      </c>
      <c r="F75" s="81">
        <v>0</v>
      </c>
      <c r="G75" s="81">
        <v>0.0178208955223881</v>
      </c>
    </row>
    <row r="76" spans="1:7">
      <c r="A76" s="530" t="s">
        <v>175</v>
      </c>
      <c r="B76" s="138">
        <v>22.2</v>
      </c>
      <c r="C76" s="79">
        <f t="shared" si="1"/>
        <v>20.1</v>
      </c>
      <c r="D76" s="80">
        <v>0</v>
      </c>
      <c r="E76" s="80">
        <v>0</v>
      </c>
      <c r="F76" s="81">
        <v>0</v>
      </c>
      <c r="G76" s="81">
        <v>0.0255945945945946</v>
      </c>
    </row>
    <row r="77" spans="1:7">
      <c r="A77" s="530" t="s">
        <v>176</v>
      </c>
      <c r="B77" s="138">
        <v>24.4</v>
      </c>
      <c r="C77" s="79">
        <f t="shared" si="1"/>
        <v>22.2</v>
      </c>
      <c r="D77" s="80">
        <v>0</v>
      </c>
      <c r="E77" s="80">
        <v>0</v>
      </c>
      <c r="F77" s="81">
        <v>0</v>
      </c>
      <c r="G77" s="81">
        <v>0.0323032786885246</v>
      </c>
    </row>
    <row r="78" spans="1:7">
      <c r="A78" s="530" t="s">
        <v>177</v>
      </c>
      <c r="B78" s="138">
        <v>26.1</v>
      </c>
      <c r="C78" s="79">
        <f t="shared" si="1"/>
        <v>24.4</v>
      </c>
      <c r="D78" s="80">
        <v>0</v>
      </c>
      <c r="E78" s="80">
        <v>0</v>
      </c>
      <c r="F78" s="81">
        <v>0</v>
      </c>
      <c r="G78" s="81">
        <v>0.0367126436781609</v>
      </c>
    </row>
    <row r="79" spans="1:7">
      <c r="A79" s="530" t="s">
        <v>178</v>
      </c>
      <c r="B79" s="138">
        <v>28.1</v>
      </c>
      <c r="C79" s="79">
        <f t="shared" si="1"/>
        <v>26.1</v>
      </c>
      <c r="D79" s="80">
        <v>0</v>
      </c>
      <c r="E79" s="80"/>
      <c r="F79" s="81"/>
      <c r="G79" s="81"/>
    </row>
    <row r="80" spans="1:7">
      <c r="A80" s="78" t="s">
        <v>179</v>
      </c>
      <c r="B80" s="138">
        <v>29.2</v>
      </c>
      <c r="C80" s="79">
        <f t="shared" si="1"/>
        <v>28.1</v>
      </c>
      <c r="D80" s="80">
        <v>0</v>
      </c>
      <c r="E80" s="80"/>
      <c r="F80" s="81"/>
      <c r="G80" s="81"/>
    </row>
    <row r="81" spans="1:7">
      <c r="A81" s="78" t="s">
        <v>180</v>
      </c>
      <c r="B81" s="138">
        <v>30.1</v>
      </c>
      <c r="C81" s="79">
        <f t="shared" si="1"/>
        <v>29.2</v>
      </c>
      <c r="D81" s="80">
        <v>0.027591362126246</v>
      </c>
      <c r="E81" s="80"/>
      <c r="F81" s="81"/>
      <c r="G81" s="81"/>
    </row>
    <row r="82" spans="1:7">
      <c r="A82" s="78" t="s">
        <v>181</v>
      </c>
      <c r="B82" s="138">
        <v>31.4</v>
      </c>
      <c r="C82" s="79">
        <f t="shared" si="1"/>
        <v>30.1</v>
      </c>
      <c r="D82" s="80">
        <v>0.0678503184713376</v>
      </c>
      <c r="E82" s="80"/>
      <c r="F82" s="81"/>
      <c r="G82" s="81"/>
    </row>
    <row r="83" spans="1:7">
      <c r="A83" s="78" t="s">
        <v>182</v>
      </c>
      <c r="B83" s="101">
        <v>32</v>
      </c>
      <c r="C83" s="79">
        <f t="shared" si="1"/>
        <v>31.4</v>
      </c>
      <c r="D83" s="80">
        <v>0.0853281250000001</v>
      </c>
      <c r="E83" s="80"/>
      <c r="F83" s="81"/>
      <c r="G83" s="81"/>
    </row>
    <row r="84" spans="1:7">
      <c r="A84" s="78" t="s">
        <v>183</v>
      </c>
      <c r="B84" s="101">
        <v>33</v>
      </c>
      <c r="C84" s="79">
        <f t="shared" si="1"/>
        <v>32</v>
      </c>
      <c r="D84" s="80">
        <v>0.113045454545455</v>
      </c>
      <c r="E84" s="80">
        <v>0.0113045454545455</v>
      </c>
      <c r="F84" s="81">
        <v>0.0127939393939394</v>
      </c>
      <c r="G84" s="81">
        <v>0.0996727272727273</v>
      </c>
    </row>
    <row r="85" spans="1:7">
      <c r="A85" s="78" t="s">
        <v>184</v>
      </c>
      <c r="B85" s="138">
        <v>34.2</v>
      </c>
      <c r="C85" s="79">
        <f t="shared" si="1"/>
        <v>33</v>
      </c>
      <c r="D85" s="80">
        <v>0.144166666666667</v>
      </c>
      <c r="E85" s="80">
        <v>0.0144166666666667</v>
      </c>
      <c r="F85" s="81">
        <v>0.0158538011695906</v>
      </c>
      <c r="G85" s="81">
        <v>0.11021052631579</v>
      </c>
    </row>
    <row r="86" spans="1:7">
      <c r="A86" s="78" t="s">
        <v>185</v>
      </c>
      <c r="B86" s="138">
        <v>35.4</v>
      </c>
      <c r="C86" s="79">
        <f t="shared" si="1"/>
        <v>34.2</v>
      </c>
      <c r="D86" s="80">
        <v>0.173177966101695</v>
      </c>
      <c r="E86" s="80">
        <v>0.0173177966101695</v>
      </c>
      <c r="F86" s="81">
        <v>0.0187062146892655</v>
      </c>
      <c r="G86" s="81">
        <v>0.120033898305085</v>
      </c>
    </row>
    <row r="87" spans="1:7">
      <c r="A87" s="78" t="s">
        <v>186</v>
      </c>
      <c r="B87" s="138">
        <v>36.5</v>
      </c>
      <c r="C87" s="79">
        <f t="shared" si="1"/>
        <v>35.4</v>
      </c>
      <c r="D87" s="80">
        <v>0.198095890410959</v>
      </c>
      <c r="E87" s="80">
        <v>0.0198095890410959</v>
      </c>
      <c r="F87" s="81">
        <v>0.0211561643835616</v>
      </c>
      <c r="G87" s="81">
        <v>0.128471232876712</v>
      </c>
    </row>
    <row r="88" spans="1:7">
      <c r="A88" s="78" t="s">
        <v>187</v>
      </c>
      <c r="B88" s="138">
        <v>39.6</v>
      </c>
      <c r="C88" s="79">
        <f t="shared" si="1"/>
        <v>36.5</v>
      </c>
      <c r="D88" s="80">
        <v>0.260871212121212</v>
      </c>
      <c r="E88" s="80">
        <v>0.0260871212121212</v>
      </c>
      <c r="F88" s="81">
        <v>0.0273282828282828</v>
      </c>
      <c r="G88" s="81">
        <v>0.149727272727273</v>
      </c>
    </row>
    <row r="89" spans="1:7">
      <c r="A89" s="78" t="s">
        <v>188</v>
      </c>
      <c r="B89" s="138">
        <v>40.1</v>
      </c>
      <c r="C89" s="79">
        <f t="shared" si="1"/>
        <v>39.6</v>
      </c>
      <c r="D89" s="80">
        <v>0.270087281795511</v>
      </c>
      <c r="E89" s="80">
        <v>0.0270087281795511</v>
      </c>
      <c r="F89" s="81">
        <v>0.0282344139650873</v>
      </c>
      <c r="G89" s="81">
        <v>0.152847880299252</v>
      </c>
    </row>
    <row r="90" spans="1:7">
      <c r="A90" s="78" t="s">
        <v>189</v>
      </c>
      <c r="B90" s="138">
        <v>40.8</v>
      </c>
      <c r="C90" s="79">
        <f t="shared" si="1"/>
        <v>40.1</v>
      </c>
      <c r="D90" s="80">
        <v>0.282610294117647</v>
      </c>
      <c r="E90" s="80">
        <v>0.0282610294117647</v>
      </c>
      <c r="F90" s="81">
        <v>0.0294656862745098</v>
      </c>
      <c r="G90" s="81">
        <v>0.157088235294118</v>
      </c>
    </row>
    <row r="91" spans="1:7">
      <c r="A91" s="78" t="s">
        <v>190</v>
      </c>
      <c r="B91" s="138">
        <v>41.6</v>
      </c>
      <c r="C91" s="79">
        <f t="shared" si="1"/>
        <v>40.8</v>
      </c>
      <c r="D91" s="80">
        <v>0.29640625</v>
      </c>
      <c r="E91" s="80">
        <v>0.029640625</v>
      </c>
      <c r="F91" s="81">
        <v>0.0308221153846154</v>
      </c>
      <c r="G91" s="81">
        <v>0.161759615384615</v>
      </c>
    </row>
    <row r="92" spans="1:7">
      <c r="A92" s="78" t="s">
        <v>191</v>
      </c>
      <c r="B92" s="138">
        <v>42.9</v>
      </c>
      <c r="C92" s="79">
        <f t="shared" si="1"/>
        <v>41.6</v>
      </c>
      <c r="D92" s="80">
        <v>0.317727272727273</v>
      </c>
      <c r="E92" s="80">
        <v>0.0317727272727273</v>
      </c>
      <c r="F92" s="81">
        <v>0.0329184149184149</v>
      </c>
      <c r="G92" s="81">
        <v>0.168979020979021</v>
      </c>
    </row>
    <row r="93" spans="1:7">
      <c r="A93" s="78" t="s">
        <v>192</v>
      </c>
      <c r="B93" s="138">
        <v>44.1</v>
      </c>
      <c r="C93" s="79">
        <f t="shared" si="1"/>
        <v>42.9</v>
      </c>
      <c r="D93" s="80">
        <v>0.336292517006803</v>
      </c>
      <c r="E93" s="80">
        <v>0.0336292517006803</v>
      </c>
      <c r="F93" s="81">
        <v>0.0347437641723356</v>
      </c>
      <c r="G93" s="81">
        <v>0.175265306122449</v>
      </c>
    </row>
    <row r="94" spans="1:7">
      <c r="A94" s="78" t="s">
        <v>193</v>
      </c>
      <c r="B94" s="101">
        <v>45</v>
      </c>
      <c r="C94" s="79">
        <f t="shared" si="1"/>
        <v>44.1</v>
      </c>
      <c r="D94" s="80">
        <v>0.349566666666667</v>
      </c>
      <c r="E94" s="80">
        <v>0.0349566666666667</v>
      </c>
      <c r="F94" s="81">
        <v>0.0360488888888889</v>
      </c>
      <c r="G94" s="81">
        <v>0.17976</v>
      </c>
    </row>
    <row r="95" spans="1:7">
      <c r="A95" s="78" t="s">
        <v>194</v>
      </c>
      <c r="B95" s="138">
        <v>45.5</v>
      </c>
      <c r="C95" s="79">
        <f t="shared" si="1"/>
        <v>45</v>
      </c>
      <c r="D95" s="80">
        <v>0.356714285714286</v>
      </c>
      <c r="E95" s="80">
        <v>0.0356714285714286</v>
      </c>
      <c r="F95" s="81">
        <v>0.0367516483516483</v>
      </c>
      <c r="G95" s="81">
        <v>0.18218021978022</v>
      </c>
    </row>
    <row r="96" spans="1:7">
      <c r="A96" s="78" t="s">
        <v>195</v>
      </c>
      <c r="B96" s="101">
        <v>46</v>
      </c>
      <c r="C96" s="79">
        <f t="shared" si="1"/>
        <v>45.5</v>
      </c>
      <c r="D96" s="80">
        <v>0.36370652173913</v>
      </c>
      <c r="E96" s="80">
        <v>0.0363706521739131</v>
      </c>
      <c r="F96" s="81">
        <v>0.0374391304347826</v>
      </c>
      <c r="G96" s="81">
        <v>0.184547826086957</v>
      </c>
    </row>
    <row r="97" spans="1:7">
      <c r="A97" s="78" t="s">
        <v>196</v>
      </c>
      <c r="B97" s="101">
        <v>47</v>
      </c>
      <c r="C97" s="79">
        <f t="shared" si="1"/>
        <v>46</v>
      </c>
      <c r="D97" s="80">
        <v>0.377244680851064</v>
      </c>
      <c r="E97" s="80">
        <v>0.0377244680851064</v>
      </c>
      <c r="F97" s="81">
        <v>0.0387702127659574</v>
      </c>
      <c r="G97" s="81">
        <v>0.189131914893617</v>
      </c>
    </row>
    <row r="98" spans="1:7">
      <c r="A98" s="78" t="s">
        <v>197</v>
      </c>
      <c r="B98" s="101">
        <v>48</v>
      </c>
      <c r="C98" s="79">
        <f t="shared" si="1"/>
        <v>47</v>
      </c>
      <c r="D98" s="80">
        <v>0.39021875</v>
      </c>
      <c r="E98" s="80">
        <v>0.039021875</v>
      </c>
      <c r="F98" s="81">
        <v>0.040275</v>
      </c>
      <c r="G98" s="81">
        <v>0.193525</v>
      </c>
    </row>
    <row r="99" spans="1:7">
      <c r="A99" s="78" t="s">
        <v>198</v>
      </c>
      <c r="B99" s="101">
        <v>49</v>
      </c>
      <c r="C99" s="79">
        <f t="shared" si="1"/>
        <v>48</v>
      </c>
      <c r="D99" s="80">
        <v>0.402663265306123</v>
      </c>
      <c r="E99" s="80">
        <v>0.0415979591836735</v>
      </c>
      <c r="F99" s="81">
        <v>0.0476163265306122</v>
      </c>
      <c r="G99" s="81">
        <v>0.197738775510204</v>
      </c>
    </row>
    <row r="100" spans="1:7">
      <c r="A100" s="78" t="s">
        <v>199</v>
      </c>
      <c r="B100" s="138">
        <v>49.6</v>
      </c>
      <c r="C100" s="79">
        <f t="shared" si="1"/>
        <v>49</v>
      </c>
      <c r="D100" s="80">
        <v>0.409889112903226</v>
      </c>
      <c r="E100" s="80">
        <v>0.0459334677419355</v>
      </c>
      <c r="F100" s="81">
        <v>0.0518790322580645</v>
      </c>
      <c r="G100" s="81">
        <v>0.200185483870968</v>
      </c>
    </row>
    <row r="101" spans="1:7">
      <c r="A101" s="78" t="s">
        <v>200</v>
      </c>
      <c r="B101" s="138">
        <v>50.6</v>
      </c>
      <c r="C101" s="79">
        <f t="shared" si="1"/>
        <v>49.6</v>
      </c>
      <c r="D101" s="80">
        <v>0.42155138339921</v>
      </c>
      <c r="E101" s="80">
        <v>0.0529308300395257</v>
      </c>
      <c r="F101" s="81">
        <v>0.0587588932806324</v>
      </c>
      <c r="G101" s="81">
        <v>0.204134387351779</v>
      </c>
    </row>
    <row r="102" spans="1:7">
      <c r="A102" s="78" t="s">
        <v>201</v>
      </c>
      <c r="B102" s="101">
        <v>51.9</v>
      </c>
      <c r="C102" s="79">
        <f t="shared" si="1"/>
        <v>50.6</v>
      </c>
      <c r="D102" s="80">
        <v>0.436040462427746</v>
      </c>
      <c r="E102" s="80">
        <v>0.0616242774566474</v>
      </c>
      <c r="F102" s="81">
        <v>0.0673063583815029</v>
      </c>
      <c r="G102" s="81">
        <v>0.209040462427746</v>
      </c>
    </row>
    <row r="103" spans="1:7">
      <c r="A103" s="78" t="s">
        <v>202</v>
      </c>
      <c r="B103" s="138">
        <v>53.7</v>
      </c>
      <c r="C103" s="79">
        <f t="shared" si="1"/>
        <v>51.9</v>
      </c>
      <c r="D103" s="80">
        <v>0.454944134078212</v>
      </c>
      <c r="E103" s="80">
        <v>0.0729664804469274</v>
      </c>
      <c r="F103" s="81">
        <v>0.0784581005586592</v>
      </c>
      <c r="G103" s="81">
        <v>0.215441340782123</v>
      </c>
    </row>
    <row r="104" spans="1:7">
      <c r="A104" s="78" t="s">
        <v>203</v>
      </c>
      <c r="B104" s="101">
        <v>55</v>
      </c>
      <c r="C104" s="79">
        <f t="shared" si="1"/>
        <v>53.7</v>
      </c>
      <c r="D104" s="80">
        <v>0.467827272727273</v>
      </c>
      <c r="E104" s="80">
        <v>0.0806963636363636</v>
      </c>
      <c r="F104" s="81">
        <v>0.0860581818181818</v>
      </c>
      <c r="G104" s="81">
        <v>0.219803636363636</v>
      </c>
    </row>
    <row r="105" spans="1:7">
      <c r="A105" s="78" t="s">
        <v>204</v>
      </c>
      <c r="B105" s="101">
        <v>55.7</v>
      </c>
      <c r="C105" s="79">
        <f t="shared" si="1"/>
        <v>55</v>
      </c>
      <c r="D105" s="80">
        <v>0.47451526032316</v>
      </c>
      <c r="E105" s="80">
        <v>0.0847091561938959</v>
      </c>
      <c r="F105" s="81">
        <v>0.0900035906642729</v>
      </c>
      <c r="G105" s="81">
        <v>0.222068222621185</v>
      </c>
    </row>
    <row r="106" spans="1:7">
      <c r="A106" s="78" t="s">
        <v>205</v>
      </c>
      <c r="B106" s="138">
        <v>56.3</v>
      </c>
      <c r="C106" s="79">
        <f t="shared" si="1"/>
        <v>55.7</v>
      </c>
      <c r="D106" s="80">
        <v>0.480115452930728</v>
      </c>
      <c r="E106" s="80">
        <v>0.0880692717584369</v>
      </c>
      <c r="F106" s="81">
        <v>0.0933072824156305</v>
      </c>
      <c r="G106" s="81">
        <v>0.223964476021314</v>
      </c>
    </row>
    <row r="107" spans="1:7">
      <c r="A107" s="78" t="s">
        <v>206</v>
      </c>
      <c r="B107" s="138">
        <v>57.1</v>
      </c>
      <c r="C107" s="79">
        <f t="shared" si="1"/>
        <v>56.3</v>
      </c>
      <c r="D107" s="80">
        <v>0.487399299474606</v>
      </c>
      <c r="E107" s="80">
        <v>0.0924395796847636</v>
      </c>
      <c r="F107" s="81">
        <v>0.0976042031523643</v>
      </c>
      <c r="G107" s="81">
        <v>0.226430823117338</v>
      </c>
    </row>
    <row r="108" spans="1:7">
      <c r="A108" s="78" t="s">
        <v>207</v>
      </c>
      <c r="B108" s="138">
        <v>58.3</v>
      </c>
      <c r="C108" s="79">
        <f t="shared" si="1"/>
        <v>57.1</v>
      </c>
      <c r="D108" s="80">
        <v>0.49795025728988</v>
      </c>
      <c r="E108" s="80">
        <v>0.098770154373928</v>
      </c>
      <c r="F108" s="81">
        <v>0.103828473413379</v>
      </c>
      <c r="G108" s="81">
        <v>0.230003430531732</v>
      </c>
    </row>
    <row r="109" spans="1:7">
      <c r="A109" s="78" t="s">
        <v>208</v>
      </c>
      <c r="B109" s="138">
        <v>60.3</v>
      </c>
      <c r="C109" s="79">
        <f t="shared" si="1"/>
        <v>58.3</v>
      </c>
      <c r="D109" s="80">
        <v>0.514601990049751</v>
      </c>
      <c r="E109" s="80">
        <v>0.108761194029851</v>
      </c>
      <c r="F109" s="81">
        <v>0.113651741293532</v>
      </c>
      <c r="G109" s="81">
        <v>0.235641791044776</v>
      </c>
    </row>
    <row r="110" spans="1:7">
      <c r="A110" s="78" t="s">
        <v>209</v>
      </c>
      <c r="B110" s="138">
        <v>61.2</v>
      </c>
      <c r="C110" s="79">
        <f t="shared" si="1"/>
        <v>60.3</v>
      </c>
      <c r="D110" s="80">
        <v>0.521740196078431</v>
      </c>
      <c r="E110" s="80">
        <v>0.113044117647059</v>
      </c>
      <c r="F110" s="81">
        <v>0.117862745098039</v>
      </c>
      <c r="G110" s="81">
        <v>0.238058823529412</v>
      </c>
    </row>
    <row r="111" spans="1:7">
      <c r="A111" s="78" t="s">
        <v>210</v>
      </c>
      <c r="B111" s="138">
        <v>63.6</v>
      </c>
      <c r="C111" s="79">
        <f t="shared" si="1"/>
        <v>61.2</v>
      </c>
      <c r="D111" s="80">
        <v>0.539787735849057</v>
      </c>
      <c r="E111" s="80">
        <v>0.123872641509434</v>
      </c>
      <c r="F111" s="81">
        <v>0.128509433962264</v>
      </c>
      <c r="G111" s="81">
        <v>0.244169811320755</v>
      </c>
    </row>
    <row r="112" spans="1:7">
      <c r="A112" s="78" t="s">
        <v>211</v>
      </c>
      <c r="B112" s="138">
        <v>64.9</v>
      </c>
      <c r="C112" s="79">
        <f t="shared" si="1"/>
        <v>63.6</v>
      </c>
      <c r="D112" s="80">
        <v>0.549006163328197</v>
      </c>
      <c r="E112" s="80">
        <v>0.129403697996918</v>
      </c>
      <c r="F112" s="81">
        <v>0.133947611710324</v>
      </c>
      <c r="G112" s="81">
        <v>0.247291217257319</v>
      </c>
    </row>
    <row r="113" spans="1:7">
      <c r="A113" s="78" t="s">
        <v>212</v>
      </c>
      <c r="B113" s="138">
        <v>66.8</v>
      </c>
      <c r="C113" s="79">
        <f t="shared" si="1"/>
        <v>64.9</v>
      </c>
      <c r="D113" s="80">
        <v>0.561833832335329</v>
      </c>
      <c r="E113" s="80">
        <v>0.137100299401198</v>
      </c>
      <c r="F113" s="81">
        <v>0.14151497005988</v>
      </c>
      <c r="G113" s="81">
        <v>0.251634730538922</v>
      </c>
    </row>
    <row r="114" spans="1:7">
      <c r="A114" s="78" t="s">
        <v>213</v>
      </c>
      <c r="B114" s="138">
        <v>69.7</v>
      </c>
      <c r="C114" s="79">
        <f t="shared" si="1"/>
        <v>66.8</v>
      </c>
      <c r="D114" s="80">
        <v>0.58006456241033</v>
      </c>
      <c r="E114" s="80">
        <v>0.148038737446198</v>
      </c>
      <c r="F114" s="81">
        <v>0.152269727403156</v>
      </c>
      <c r="G114" s="81">
        <v>0.25780774748924</v>
      </c>
    </row>
    <row r="115" spans="1:7">
      <c r="A115" s="78" t="s">
        <v>214</v>
      </c>
      <c r="B115" s="101">
        <v>73</v>
      </c>
      <c r="C115" s="79">
        <f t="shared" si="1"/>
        <v>69.7</v>
      </c>
      <c r="D115" s="80">
        <v>0.59904794520548</v>
      </c>
      <c r="E115" s="80">
        <v>0.159428767123288</v>
      </c>
      <c r="F115" s="81">
        <v>0.163468493150685</v>
      </c>
      <c r="G115" s="81">
        <v>0.264235616438356</v>
      </c>
    </row>
    <row r="116" spans="1:7">
      <c r="A116" s="78" t="s">
        <v>215</v>
      </c>
      <c r="B116" s="138">
        <v>76.2</v>
      </c>
      <c r="C116" s="79">
        <f t="shared" si="1"/>
        <v>73</v>
      </c>
      <c r="D116" s="80">
        <v>0.615885826771654</v>
      </c>
      <c r="E116" s="80">
        <v>0.169531496062992</v>
      </c>
      <c r="F116" s="81">
        <v>0.17340157480315</v>
      </c>
      <c r="G116" s="81">
        <v>0.269937007874016</v>
      </c>
    </row>
    <row r="117" spans="1:7">
      <c r="A117" s="78" t="s">
        <v>216</v>
      </c>
      <c r="B117" s="138">
        <v>81.8</v>
      </c>
      <c r="C117" s="79">
        <f t="shared" si="1"/>
        <v>76.2</v>
      </c>
      <c r="D117" s="80">
        <v>0.642182151589242</v>
      </c>
      <c r="E117" s="80">
        <v>0.185309290953545</v>
      </c>
      <c r="F117" s="81">
        <v>0.188914425427873</v>
      </c>
      <c r="G117" s="81">
        <v>0.278841075794621</v>
      </c>
    </row>
    <row r="118" spans="1:7">
      <c r="A118" s="78" t="s">
        <v>217</v>
      </c>
      <c r="B118" s="101">
        <v>88</v>
      </c>
      <c r="C118" s="79">
        <f t="shared" si="1"/>
        <v>81.8</v>
      </c>
      <c r="D118" s="80">
        <v>0.667392045454546</v>
      </c>
      <c r="E118" s="80">
        <v>0.200435227272727</v>
      </c>
      <c r="F118" s="81">
        <v>0.203786363636364</v>
      </c>
      <c r="G118" s="81">
        <v>0.287377272727273</v>
      </c>
    </row>
    <row r="119" spans="1:7">
      <c r="A119" s="78" t="s">
        <v>218</v>
      </c>
      <c r="B119" s="138">
        <v>98.7</v>
      </c>
      <c r="C119" s="79">
        <f t="shared" si="1"/>
        <v>88</v>
      </c>
      <c r="D119" s="80">
        <v>0.703449848024316</v>
      </c>
      <c r="E119" s="80">
        <v>0.22206990881459</v>
      </c>
      <c r="F119" s="81">
        <v>0.225057750759878</v>
      </c>
      <c r="G119" s="81">
        <v>0.299586626139818</v>
      </c>
    </row>
    <row r="120" spans="1:7">
      <c r="A120" s="78" t="s">
        <v>219</v>
      </c>
      <c r="B120" s="138">
        <v>115.6</v>
      </c>
      <c r="C120" s="79">
        <f t="shared" si="1"/>
        <v>98.7</v>
      </c>
      <c r="D120" s="80">
        <v>0.746803633217993</v>
      </c>
      <c r="E120" s="80">
        <v>0.248082179930796</v>
      </c>
      <c r="F120" s="81">
        <v>0.25063321799308</v>
      </c>
      <c r="G120" s="81">
        <v>0.314266435986159</v>
      </c>
    </row>
    <row r="121" spans="1:7">
      <c r="A121" s="78" t="s">
        <v>220</v>
      </c>
      <c r="B121" s="138">
        <v>151.1</v>
      </c>
      <c r="C121" s="79">
        <f t="shared" si="1"/>
        <v>115.6</v>
      </c>
      <c r="D121" s="80">
        <v>0.806290536068829</v>
      </c>
      <c r="E121" s="80">
        <v>0.283774321641297</v>
      </c>
      <c r="F121" s="81">
        <v>0.285726009265387</v>
      </c>
      <c r="G121" s="81">
        <v>0.334409000661813</v>
      </c>
    </row>
    <row r="122" spans="1:7">
      <c r="A122" s="78" t="s">
        <v>221</v>
      </c>
      <c r="B122" s="138">
        <v>209.8</v>
      </c>
      <c r="C122" s="79">
        <f t="shared" si="1"/>
        <v>151.1</v>
      </c>
      <c r="D122" s="80">
        <v>0.860488560533842</v>
      </c>
      <c r="E122" s="80">
        <v>0.316293136320305</v>
      </c>
      <c r="F122" s="81">
        <v>0.317698760724499</v>
      </c>
      <c r="G122" s="81">
        <v>0.352760724499523</v>
      </c>
    </row>
    <row r="123" spans="1:7">
      <c r="A123" s="78" t="s">
        <v>221</v>
      </c>
      <c r="B123" s="78" t="s">
        <v>369</v>
      </c>
      <c r="C123" s="79">
        <f t="shared" si="1"/>
        <v>209.8</v>
      </c>
      <c r="D123" s="83" t="s">
        <v>232</v>
      </c>
      <c r="E123" s="83"/>
      <c r="F123" s="84"/>
      <c r="G123" s="84"/>
    </row>
    <row r="124" spans="1:7">
      <c r="A124" s="78"/>
      <c r="B124" s="78"/>
      <c r="C124" s="78"/>
      <c r="D124" s="83"/>
      <c r="E124" s="85">
        <v>0.0741190541654498</v>
      </c>
      <c r="F124" s="86">
        <v>0.0767365449182231</v>
      </c>
      <c r="G124" s="86">
        <v>0.176884819702081</v>
      </c>
    </row>
    <row r="125" ht="48" spans="1:7">
      <c r="A125" s="87" t="s">
        <v>233</v>
      </c>
      <c r="B125" s="282">
        <v>27.53</v>
      </c>
      <c r="C125" s="78"/>
      <c r="D125" s="83"/>
      <c r="F125" s="128">
        <v>47.9633333333333</v>
      </c>
      <c r="G125" s="129">
        <v>27.53</v>
      </c>
    </row>
    <row r="126" ht="48" spans="1:7">
      <c r="A126" s="87" t="s">
        <v>224</v>
      </c>
      <c r="B126" s="282">
        <v>53.4</v>
      </c>
      <c r="C126" s="78"/>
      <c r="D126" s="83"/>
      <c r="E126" s="255">
        <v>48.7825</v>
      </c>
      <c r="F126" s="84"/>
      <c r="G126" s="84"/>
    </row>
    <row r="127" ht="84" spans="1:7">
      <c r="A127" s="106" t="s">
        <v>225</v>
      </c>
      <c r="B127" s="78">
        <v>16.5</v>
      </c>
      <c r="C127" s="78"/>
      <c r="D127" s="83"/>
      <c r="E127" s="255">
        <v>29.2695</v>
      </c>
      <c r="F127" s="84">
        <v>28.778</v>
      </c>
      <c r="G127" s="84">
        <v>16.518</v>
      </c>
    </row>
    <row r="129" ht="48.75" spans="1:2">
      <c r="A129" s="256" t="s">
        <v>224</v>
      </c>
      <c r="B129">
        <f>B126</f>
        <v>53.4</v>
      </c>
    </row>
    <row r="130" spans="1:3">
      <c r="A130" s="531" t="s">
        <v>226</v>
      </c>
      <c r="B130" s="95">
        <f>AVERAGE(B78:B117)</f>
        <v>48.7825</v>
      </c>
      <c r="C130" s="95"/>
    </row>
    <row r="131" spans="1:3">
      <c r="A131" s="531" t="s">
        <v>227</v>
      </c>
      <c r="B131" s="96">
        <f>AVERAGE(B83:B112)</f>
        <v>47.9633333333333</v>
      </c>
      <c r="C131" s="96"/>
    </row>
    <row r="132" spans="1:3">
      <c r="A132" s="531" t="s">
        <v>228</v>
      </c>
      <c r="B132" s="96">
        <f>AVERAGE(B89:B107)</f>
        <v>48.4157894736842</v>
      </c>
      <c r="C132" s="96"/>
    </row>
    <row r="134" spans="1:7">
      <c r="A134" s="83" t="s">
        <v>165</v>
      </c>
      <c r="B134" s="83" t="s">
        <v>347</v>
      </c>
      <c r="C134" s="83"/>
      <c r="D134" s="83"/>
      <c r="E134" s="86">
        <f>(1-E189)^(1/3)-1</f>
        <v>0</v>
      </c>
      <c r="F134" s="86">
        <f>(1-F189)^(1/3)-1</f>
        <v>0</v>
      </c>
      <c r="G134" s="86"/>
    </row>
    <row r="135" ht="72" spans="1:7">
      <c r="A135" s="83"/>
      <c r="B135" s="83" t="s">
        <v>167</v>
      </c>
      <c r="C135" s="107"/>
      <c r="D135" s="83" t="s">
        <v>168</v>
      </c>
      <c r="E135" s="83" t="s">
        <v>169</v>
      </c>
      <c r="F135" s="84" t="s">
        <v>169</v>
      </c>
      <c r="G135" s="84"/>
    </row>
    <row r="136" ht="24" spans="1:7">
      <c r="A136" s="83"/>
      <c r="B136" s="83" t="s">
        <v>235</v>
      </c>
      <c r="C136" s="107"/>
      <c r="D136" s="83" t="s">
        <v>171</v>
      </c>
      <c r="E136" s="83" t="s">
        <v>171</v>
      </c>
      <c r="F136" s="84" t="s">
        <v>171</v>
      </c>
      <c r="G136" s="84"/>
    </row>
    <row r="137" spans="1:7">
      <c r="A137" s="75">
        <v>1</v>
      </c>
      <c r="B137" s="76">
        <v>2</v>
      </c>
      <c r="C137" s="76"/>
      <c r="D137" s="76">
        <v>3</v>
      </c>
      <c r="E137" s="76">
        <v>4</v>
      </c>
      <c r="F137" s="77">
        <v>5</v>
      </c>
      <c r="G137" s="77"/>
    </row>
    <row r="138" spans="1:7">
      <c r="A138" s="530" t="s">
        <v>172</v>
      </c>
      <c r="B138" s="313"/>
      <c r="C138" s="112">
        <v>0</v>
      </c>
      <c r="D138" s="80">
        <f t="shared" ref="D138:D187" si="2">IF(B138=0,0,IF(B138&lt;=E$192,0,B138-E$192)/B138)</f>
        <v>0</v>
      </c>
      <c r="E138" s="80"/>
      <c r="F138" s="81"/>
      <c r="G138" s="81"/>
    </row>
    <row r="139" spans="1:7">
      <c r="A139" s="530" t="s">
        <v>173</v>
      </c>
      <c r="B139" s="313"/>
      <c r="C139" s="79">
        <f>B138</f>
        <v>0</v>
      </c>
      <c r="D139" s="80">
        <f t="shared" si="2"/>
        <v>0</v>
      </c>
      <c r="E139" s="80"/>
      <c r="F139" s="81"/>
      <c r="G139" s="81"/>
    </row>
    <row r="140" spans="1:7">
      <c r="A140" s="530" t="s">
        <v>174</v>
      </c>
      <c r="B140" s="313"/>
      <c r="C140" s="79">
        <f t="shared" ref="C140:C188" si="3">B139</f>
        <v>0</v>
      </c>
      <c r="D140" s="80">
        <f t="shared" si="2"/>
        <v>0</v>
      </c>
      <c r="E140" s="80"/>
      <c r="F140" s="81"/>
      <c r="G140" s="81"/>
    </row>
    <row r="141" spans="1:7">
      <c r="A141" s="530" t="s">
        <v>175</v>
      </c>
      <c r="B141" s="313"/>
      <c r="C141" s="79">
        <f t="shared" si="3"/>
        <v>0</v>
      </c>
      <c r="D141" s="80">
        <f t="shared" si="2"/>
        <v>0</v>
      </c>
      <c r="E141" s="80"/>
      <c r="F141" s="81"/>
      <c r="G141" s="81"/>
    </row>
    <row r="142" spans="1:7">
      <c r="A142" s="530" t="s">
        <v>176</v>
      </c>
      <c r="B142" s="313"/>
      <c r="C142" s="79">
        <f t="shared" si="3"/>
        <v>0</v>
      </c>
      <c r="D142" s="80">
        <f t="shared" si="2"/>
        <v>0</v>
      </c>
      <c r="E142" s="80"/>
      <c r="F142" s="81"/>
      <c r="G142" s="81"/>
    </row>
    <row r="143" spans="1:7">
      <c r="A143" s="530" t="s">
        <v>177</v>
      </c>
      <c r="B143" s="313"/>
      <c r="C143" s="79">
        <f t="shared" si="3"/>
        <v>0</v>
      </c>
      <c r="D143" s="80">
        <f t="shared" si="2"/>
        <v>0</v>
      </c>
      <c r="E143" s="80"/>
      <c r="F143" s="81"/>
      <c r="G143" s="81"/>
    </row>
    <row r="144" spans="1:7">
      <c r="A144" s="530" t="s">
        <v>178</v>
      </c>
      <c r="B144" s="313"/>
      <c r="C144" s="79">
        <f t="shared" si="3"/>
        <v>0</v>
      </c>
      <c r="D144" s="80">
        <f t="shared" si="2"/>
        <v>0</v>
      </c>
      <c r="E144" s="80"/>
      <c r="F144" s="81"/>
      <c r="G144" s="81"/>
    </row>
    <row r="145" spans="1:7">
      <c r="A145" s="78" t="s">
        <v>179</v>
      </c>
      <c r="B145" s="313"/>
      <c r="C145" s="79">
        <f t="shared" si="3"/>
        <v>0</v>
      </c>
      <c r="D145" s="80">
        <f t="shared" si="2"/>
        <v>0</v>
      </c>
      <c r="E145" s="80"/>
      <c r="F145" s="81"/>
      <c r="G145" s="81"/>
    </row>
    <row r="146" spans="1:7">
      <c r="A146" s="78" t="s">
        <v>180</v>
      </c>
      <c r="B146" s="313"/>
      <c r="C146" s="79">
        <f t="shared" si="3"/>
        <v>0</v>
      </c>
      <c r="D146" s="80">
        <f t="shared" si="2"/>
        <v>0</v>
      </c>
      <c r="E146" s="80"/>
      <c r="F146" s="81"/>
      <c r="G146" s="81"/>
    </row>
    <row r="147" spans="1:7">
      <c r="A147" s="78" t="s">
        <v>181</v>
      </c>
      <c r="B147" s="313"/>
      <c r="C147" s="79">
        <f t="shared" si="3"/>
        <v>0</v>
      </c>
      <c r="D147" s="80">
        <f t="shared" si="2"/>
        <v>0</v>
      </c>
      <c r="E147" s="80"/>
      <c r="F147" s="81"/>
      <c r="G147" s="81"/>
    </row>
    <row r="148" spans="1:7">
      <c r="A148" s="78" t="s">
        <v>182</v>
      </c>
      <c r="B148" s="313"/>
      <c r="C148" s="79">
        <f t="shared" si="3"/>
        <v>0</v>
      </c>
      <c r="D148" s="80">
        <f t="shared" si="2"/>
        <v>0</v>
      </c>
      <c r="E148" s="80"/>
      <c r="F148" s="81"/>
      <c r="G148" s="81"/>
    </row>
    <row r="149" spans="1:7">
      <c r="A149" s="78" t="s">
        <v>183</v>
      </c>
      <c r="B149" s="313"/>
      <c r="C149" s="79">
        <f t="shared" si="3"/>
        <v>0</v>
      </c>
      <c r="D149" s="80">
        <f t="shared" si="2"/>
        <v>0</v>
      </c>
      <c r="E149" s="80"/>
      <c r="F149" s="81"/>
      <c r="G149" s="81"/>
    </row>
    <row r="150" spans="1:7">
      <c r="A150" s="78" t="s">
        <v>184</v>
      </c>
      <c r="B150" s="313"/>
      <c r="C150" s="79">
        <f t="shared" si="3"/>
        <v>0</v>
      </c>
      <c r="D150" s="80">
        <f t="shared" si="2"/>
        <v>0</v>
      </c>
      <c r="E150" s="80"/>
      <c r="F150" s="81"/>
      <c r="G150" s="81"/>
    </row>
    <row r="151" spans="1:7">
      <c r="A151" s="78" t="s">
        <v>185</v>
      </c>
      <c r="B151" s="313"/>
      <c r="C151" s="79">
        <f t="shared" si="3"/>
        <v>0</v>
      </c>
      <c r="D151" s="80">
        <f t="shared" si="2"/>
        <v>0</v>
      </c>
      <c r="E151" s="80"/>
      <c r="F151" s="81"/>
      <c r="G151" s="81"/>
    </row>
    <row r="152" spans="1:7">
      <c r="A152" s="78" t="s">
        <v>186</v>
      </c>
      <c r="B152" s="313"/>
      <c r="C152" s="79">
        <f t="shared" si="3"/>
        <v>0</v>
      </c>
      <c r="D152" s="80">
        <f t="shared" si="2"/>
        <v>0</v>
      </c>
      <c r="E152" s="80"/>
      <c r="F152" s="81"/>
      <c r="G152" s="81"/>
    </row>
    <row r="153" spans="1:7">
      <c r="A153" s="78" t="s">
        <v>187</v>
      </c>
      <c r="B153" s="313"/>
      <c r="C153" s="79">
        <f t="shared" si="3"/>
        <v>0</v>
      </c>
      <c r="D153" s="80">
        <f t="shared" si="2"/>
        <v>0</v>
      </c>
      <c r="E153" s="80"/>
      <c r="F153" s="81"/>
      <c r="G153" s="81"/>
    </row>
    <row r="154" spans="1:7">
      <c r="A154" s="78" t="s">
        <v>188</v>
      </c>
      <c r="B154" s="313"/>
      <c r="C154" s="79">
        <f t="shared" si="3"/>
        <v>0</v>
      </c>
      <c r="D154" s="80">
        <f t="shared" si="2"/>
        <v>0</v>
      </c>
      <c r="E154" s="80"/>
      <c r="F154" s="81"/>
      <c r="G154" s="81"/>
    </row>
    <row r="155" spans="1:7">
      <c r="A155" s="78" t="s">
        <v>189</v>
      </c>
      <c r="B155" s="313"/>
      <c r="C155" s="79">
        <f t="shared" si="3"/>
        <v>0</v>
      </c>
      <c r="D155" s="80">
        <f t="shared" si="2"/>
        <v>0</v>
      </c>
      <c r="E155" s="80"/>
      <c r="F155" s="81"/>
      <c r="G155" s="81"/>
    </row>
    <row r="156" spans="1:7">
      <c r="A156" s="78" t="s">
        <v>190</v>
      </c>
      <c r="B156" s="313"/>
      <c r="C156" s="79">
        <f t="shared" si="3"/>
        <v>0</v>
      </c>
      <c r="D156" s="80">
        <f t="shared" si="2"/>
        <v>0</v>
      </c>
      <c r="E156" s="80"/>
      <c r="F156" s="81"/>
      <c r="G156" s="81"/>
    </row>
    <row r="157" spans="1:7">
      <c r="A157" s="78" t="s">
        <v>191</v>
      </c>
      <c r="B157" s="313"/>
      <c r="C157" s="79">
        <f t="shared" si="3"/>
        <v>0</v>
      </c>
      <c r="D157" s="80">
        <f t="shared" si="2"/>
        <v>0</v>
      </c>
      <c r="E157" s="80"/>
      <c r="F157" s="81"/>
      <c r="G157" s="81"/>
    </row>
    <row r="158" spans="1:7">
      <c r="A158" s="78" t="s">
        <v>192</v>
      </c>
      <c r="B158" s="313"/>
      <c r="C158" s="79">
        <f t="shared" si="3"/>
        <v>0</v>
      </c>
      <c r="D158" s="80">
        <f t="shared" si="2"/>
        <v>0</v>
      </c>
      <c r="E158" s="80"/>
      <c r="F158" s="81"/>
      <c r="G158" s="81"/>
    </row>
    <row r="159" spans="1:7">
      <c r="A159" s="78" t="s">
        <v>193</v>
      </c>
      <c r="B159" s="313"/>
      <c r="C159" s="79">
        <f t="shared" si="3"/>
        <v>0</v>
      </c>
      <c r="D159" s="80">
        <f t="shared" si="2"/>
        <v>0</v>
      </c>
      <c r="E159" s="80"/>
      <c r="F159" s="81"/>
      <c r="G159" s="81"/>
    </row>
    <row r="160" spans="1:7">
      <c r="A160" s="78" t="s">
        <v>194</v>
      </c>
      <c r="B160" s="313"/>
      <c r="C160" s="79">
        <f t="shared" si="3"/>
        <v>0</v>
      </c>
      <c r="D160" s="80">
        <f t="shared" si="2"/>
        <v>0</v>
      </c>
      <c r="E160" s="80"/>
      <c r="F160" s="81"/>
      <c r="G160" s="81"/>
    </row>
    <row r="161" spans="1:7">
      <c r="A161" s="78" t="s">
        <v>195</v>
      </c>
      <c r="B161" s="313"/>
      <c r="C161" s="79">
        <f t="shared" si="3"/>
        <v>0</v>
      </c>
      <c r="D161" s="80">
        <f t="shared" si="2"/>
        <v>0</v>
      </c>
      <c r="E161" s="80"/>
      <c r="F161" s="81"/>
      <c r="G161" s="81"/>
    </row>
    <row r="162" spans="1:7">
      <c r="A162" s="78" t="s">
        <v>196</v>
      </c>
      <c r="B162" s="313"/>
      <c r="C162" s="79">
        <f t="shared" si="3"/>
        <v>0</v>
      </c>
      <c r="D162" s="80">
        <f t="shared" si="2"/>
        <v>0</v>
      </c>
      <c r="E162" s="80"/>
      <c r="F162" s="81"/>
      <c r="G162" s="81"/>
    </row>
    <row r="163" spans="1:7">
      <c r="A163" s="78" t="s">
        <v>197</v>
      </c>
      <c r="B163" s="313"/>
      <c r="C163" s="79">
        <f t="shared" si="3"/>
        <v>0</v>
      </c>
      <c r="D163" s="80">
        <f t="shared" si="2"/>
        <v>0</v>
      </c>
      <c r="E163" s="80"/>
      <c r="F163" s="81"/>
      <c r="G163" s="81"/>
    </row>
    <row r="164" spans="1:7">
      <c r="A164" s="78" t="s">
        <v>198</v>
      </c>
      <c r="B164" s="313"/>
      <c r="C164" s="79">
        <f t="shared" si="3"/>
        <v>0</v>
      </c>
      <c r="D164" s="80">
        <f t="shared" si="2"/>
        <v>0</v>
      </c>
      <c r="E164" s="80"/>
      <c r="F164" s="81"/>
      <c r="G164" s="81"/>
    </row>
    <row r="165" spans="1:7">
      <c r="A165" s="78" t="s">
        <v>199</v>
      </c>
      <c r="B165" s="313"/>
      <c r="C165" s="79">
        <f t="shared" si="3"/>
        <v>0</v>
      </c>
      <c r="D165" s="80">
        <f t="shared" si="2"/>
        <v>0</v>
      </c>
      <c r="E165" s="80"/>
      <c r="F165" s="81"/>
      <c r="G165" s="81"/>
    </row>
    <row r="166" spans="1:7">
      <c r="A166" s="78" t="s">
        <v>200</v>
      </c>
      <c r="B166" s="313"/>
      <c r="C166" s="79">
        <f t="shared" si="3"/>
        <v>0</v>
      </c>
      <c r="D166" s="80">
        <f t="shared" si="2"/>
        <v>0</v>
      </c>
      <c r="E166" s="80"/>
      <c r="F166" s="81"/>
      <c r="G166" s="81"/>
    </row>
    <row r="167" spans="1:7">
      <c r="A167" s="78" t="s">
        <v>201</v>
      </c>
      <c r="B167" s="313"/>
      <c r="C167" s="79">
        <f t="shared" si="3"/>
        <v>0</v>
      </c>
      <c r="D167" s="80">
        <f t="shared" si="2"/>
        <v>0</v>
      </c>
      <c r="E167" s="80"/>
      <c r="F167" s="81"/>
      <c r="G167" s="81"/>
    </row>
    <row r="168" spans="1:7">
      <c r="A168" s="78" t="s">
        <v>202</v>
      </c>
      <c r="B168" s="313"/>
      <c r="C168" s="79">
        <f t="shared" si="3"/>
        <v>0</v>
      </c>
      <c r="D168" s="80">
        <f t="shared" si="2"/>
        <v>0</v>
      </c>
      <c r="E168" s="80"/>
      <c r="F168" s="81"/>
      <c r="G168" s="81"/>
    </row>
    <row r="169" spans="1:7">
      <c r="A169" s="78" t="s">
        <v>203</v>
      </c>
      <c r="B169" s="313"/>
      <c r="C169" s="79">
        <f t="shared" si="3"/>
        <v>0</v>
      </c>
      <c r="D169" s="80">
        <f t="shared" si="2"/>
        <v>0</v>
      </c>
      <c r="E169" s="80"/>
      <c r="F169" s="81"/>
      <c r="G169" s="81"/>
    </row>
    <row r="170" spans="1:7">
      <c r="A170" s="78" t="s">
        <v>204</v>
      </c>
      <c r="B170" s="313"/>
      <c r="C170" s="79">
        <f t="shared" si="3"/>
        <v>0</v>
      </c>
      <c r="D170" s="80">
        <f t="shared" si="2"/>
        <v>0</v>
      </c>
      <c r="E170" s="80"/>
      <c r="F170" s="81"/>
      <c r="G170" s="81"/>
    </row>
    <row r="171" spans="1:7">
      <c r="A171" s="78" t="s">
        <v>205</v>
      </c>
      <c r="B171" s="313"/>
      <c r="C171" s="79">
        <f t="shared" si="3"/>
        <v>0</v>
      </c>
      <c r="D171" s="80">
        <f t="shared" si="2"/>
        <v>0</v>
      </c>
      <c r="E171" s="80"/>
      <c r="F171" s="81"/>
      <c r="G171" s="81"/>
    </row>
    <row r="172" spans="1:7">
      <c r="A172" s="78" t="s">
        <v>206</v>
      </c>
      <c r="B172" s="313"/>
      <c r="C172" s="79">
        <f t="shared" si="3"/>
        <v>0</v>
      </c>
      <c r="D172" s="80">
        <f t="shared" si="2"/>
        <v>0</v>
      </c>
      <c r="E172" s="80"/>
      <c r="F172" s="81"/>
      <c r="G172" s="81"/>
    </row>
    <row r="173" spans="1:7">
      <c r="A173" s="78" t="s">
        <v>207</v>
      </c>
      <c r="B173" s="313"/>
      <c r="C173" s="79">
        <f t="shared" si="3"/>
        <v>0</v>
      </c>
      <c r="D173" s="80">
        <f t="shared" si="2"/>
        <v>0</v>
      </c>
      <c r="E173" s="80"/>
      <c r="F173" s="81"/>
      <c r="G173" s="81"/>
    </row>
    <row r="174" spans="1:7">
      <c r="A174" s="78" t="s">
        <v>208</v>
      </c>
      <c r="B174" s="313"/>
      <c r="C174" s="79">
        <f t="shared" si="3"/>
        <v>0</v>
      </c>
      <c r="D174" s="80">
        <f t="shared" si="2"/>
        <v>0</v>
      </c>
      <c r="E174" s="80"/>
      <c r="F174" s="81"/>
      <c r="G174" s="81"/>
    </row>
    <row r="175" spans="1:7">
      <c r="A175" s="78" t="s">
        <v>209</v>
      </c>
      <c r="B175" s="313"/>
      <c r="C175" s="79">
        <f t="shared" si="3"/>
        <v>0</v>
      </c>
      <c r="D175" s="80">
        <f t="shared" si="2"/>
        <v>0</v>
      </c>
      <c r="E175" s="80"/>
      <c r="F175" s="81"/>
      <c r="G175" s="81"/>
    </row>
    <row r="176" spans="1:7">
      <c r="A176" s="78" t="s">
        <v>210</v>
      </c>
      <c r="B176" s="313"/>
      <c r="C176" s="79">
        <f t="shared" si="3"/>
        <v>0</v>
      </c>
      <c r="D176" s="80">
        <f t="shared" si="2"/>
        <v>0</v>
      </c>
      <c r="E176" s="80"/>
      <c r="F176" s="81"/>
      <c r="G176" s="81"/>
    </row>
    <row r="177" spans="1:7">
      <c r="A177" s="78" t="s">
        <v>211</v>
      </c>
      <c r="B177" s="313"/>
      <c r="C177" s="79">
        <f t="shared" si="3"/>
        <v>0</v>
      </c>
      <c r="D177" s="80">
        <f t="shared" si="2"/>
        <v>0</v>
      </c>
      <c r="E177" s="80"/>
      <c r="F177" s="81"/>
      <c r="G177" s="81"/>
    </row>
    <row r="178" spans="1:7">
      <c r="A178" s="78" t="s">
        <v>212</v>
      </c>
      <c r="B178" s="313"/>
      <c r="C178" s="79">
        <f t="shared" si="3"/>
        <v>0</v>
      </c>
      <c r="D178" s="80">
        <f t="shared" si="2"/>
        <v>0</v>
      </c>
      <c r="E178" s="80"/>
      <c r="F178" s="81"/>
      <c r="G178" s="81"/>
    </row>
    <row r="179" spans="1:7">
      <c r="A179" s="78" t="s">
        <v>213</v>
      </c>
      <c r="B179" s="313"/>
      <c r="C179" s="79">
        <f t="shared" si="3"/>
        <v>0</v>
      </c>
      <c r="D179" s="80">
        <f t="shared" si="2"/>
        <v>0</v>
      </c>
      <c r="E179" s="80"/>
      <c r="F179" s="81"/>
      <c r="G179" s="81"/>
    </row>
    <row r="180" spans="1:7">
      <c r="A180" s="78" t="s">
        <v>214</v>
      </c>
      <c r="B180" s="313"/>
      <c r="C180" s="79">
        <f t="shared" si="3"/>
        <v>0</v>
      </c>
      <c r="D180" s="80">
        <f t="shared" si="2"/>
        <v>0</v>
      </c>
      <c r="E180" s="80"/>
      <c r="F180" s="81"/>
      <c r="G180" s="81"/>
    </row>
    <row r="181" spans="1:7">
      <c r="A181" s="78" t="s">
        <v>215</v>
      </c>
      <c r="B181" s="313"/>
      <c r="C181" s="79">
        <f t="shared" si="3"/>
        <v>0</v>
      </c>
      <c r="D181" s="80">
        <f t="shared" si="2"/>
        <v>0</v>
      </c>
      <c r="E181" s="80"/>
      <c r="F181" s="81"/>
      <c r="G181" s="81"/>
    </row>
    <row r="182" spans="1:7">
      <c r="A182" s="78" t="s">
        <v>216</v>
      </c>
      <c r="B182" s="313"/>
      <c r="C182" s="79">
        <f t="shared" si="3"/>
        <v>0</v>
      </c>
      <c r="D182" s="80">
        <f t="shared" si="2"/>
        <v>0</v>
      </c>
      <c r="E182" s="80"/>
      <c r="F182" s="81"/>
      <c r="G182" s="81"/>
    </row>
    <row r="183" spans="1:7">
      <c r="A183" s="78" t="s">
        <v>217</v>
      </c>
      <c r="B183" s="313"/>
      <c r="C183" s="79">
        <f t="shared" si="3"/>
        <v>0</v>
      </c>
      <c r="D183" s="80">
        <f t="shared" si="2"/>
        <v>0</v>
      </c>
      <c r="E183" s="80"/>
      <c r="F183" s="81"/>
      <c r="G183" s="81"/>
    </row>
    <row r="184" spans="1:7">
      <c r="A184" s="78" t="s">
        <v>218</v>
      </c>
      <c r="B184" s="313"/>
      <c r="C184" s="79">
        <f t="shared" si="3"/>
        <v>0</v>
      </c>
      <c r="D184" s="80">
        <f t="shared" si="2"/>
        <v>0</v>
      </c>
      <c r="E184" s="80"/>
      <c r="F184" s="81"/>
      <c r="G184" s="81"/>
    </row>
    <row r="185" spans="1:7">
      <c r="A185" s="78" t="s">
        <v>219</v>
      </c>
      <c r="B185" s="313"/>
      <c r="C185" s="79">
        <f t="shared" si="3"/>
        <v>0</v>
      </c>
      <c r="D185" s="80">
        <f t="shared" si="2"/>
        <v>0</v>
      </c>
      <c r="E185" s="80"/>
      <c r="F185" s="81"/>
      <c r="G185" s="81"/>
    </row>
    <row r="186" spans="1:7">
      <c r="A186" s="78" t="s">
        <v>220</v>
      </c>
      <c r="B186" s="313"/>
      <c r="C186" s="79">
        <f t="shared" si="3"/>
        <v>0</v>
      </c>
      <c r="D186" s="80">
        <f t="shared" si="2"/>
        <v>0</v>
      </c>
      <c r="E186" s="80"/>
      <c r="F186" s="81"/>
      <c r="G186" s="81"/>
    </row>
    <row r="187" spans="1:7">
      <c r="A187" s="78" t="s">
        <v>221</v>
      </c>
      <c r="B187" s="138"/>
      <c r="C187" s="79">
        <f t="shared" si="3"/>
        <v>0</v>
      </c>
      <c r="D187" s="80">
        <f t="shared" si="2"/>
        <v>0</v>
      </c>
      <c r="E187" s="80"/>
      <c r="F187" s="81"/>
      <c r="G187" s="81"/>
    </row>
    <row r="188" spans="1:7">
      <c r="A188" s="78" t="s">
        <v>221</v>
      </c>
      <c r="B188" s="78" t="s">
        <v>361</v>
      </c>
      <c r="C188" s="79">
        <f t="shared" si="3"/>
        <v>0</v>
      </c>
      <c r="D188" s="117"/>
      <c r="E188" s="83"/>
      <c r="F188" s="84"/>
      <c r="G188" s="84"/>
    </row>
    <row r="189" ht="15.75" spans="1:7">
      <c r="A189" s="78"/>
      <c r="B189" s="78"/>
      <c r="C189" s="116"/>
      <c r="D189" s="117"/>
      <c r="E189" s="85"/>
      <c r="F189" s="86"/>
      <c r="G189" s="86"/>
    </row>
    <row r="190" ht="48.75" spans="1:7">
      <c r="A190" s="87" t="s">
        <v>233</v>
      </c>
      <c r="B190" s="78">
        <v>0.9</v>
      </c>
      <c r="C190" s="116"/>
      <c r="D190" s="117"/>
      <c r="F190" s="128"/>
      <c r="G190" s="129"/>
    </row>
    <row r="191" ht="48.75" spans="1:7">
      <c r="A191" s="87" t="s">
        <v>224</v>
      </c>
      <c r="B191" s="78">
        <v>0.44</v>
      </c>
      <c r="C191" s="116"/>
      <c r="D191" s="83"/>
      <c r="E191" s="127"/>
      <c r="F191" s="84"/>
      <c r="G191" s="84"/>
    </row>
    <row r="192" ht="84.75" spans="1:7">
      <c r="A192" s="106" t="s">
        <v>225</v>
      </c>
      <c r="B192" s="78">
        <v>0.5</v>
      </c>
      <c r="C192" s="116"/>
      <c r="D192" s="83"/>
      <c r="E192" s="83">
        <f>0.6*E191</f>
        <v>0</v>
      </c>
      <c r="F192" s="84">
        <f>0.6*F190</f>
        <v>0</v>
      </c>
      <c r="G192" s="84"/>
    </row>
    <row r="195" spans="1:3">
      <c r="A195" s="531" t="s">
        <v>226</v>
      </c>
      <c r="B195" s="95" t="e">
        <f>AVERAGE(B143:B182)</f>
        <v>#DIV/0!</v>
      </c>
      <c r="C195" s="95"/>
    </row>
    <row r="196" spans="1:3">
      <c r="A196" s="531" t="s">
        <v>227</v>
      </c>
      <c r="B196" s="96" t="e">
        <f>AVERAGE(B148:B177)</f>
        <v>#DIV/0!</v>
      </c>
      <c r="C196" s="96"/>
    </row>
    <row r="197" spans="1:3">
      <c r="A197" s="531" t="s">
        <v>228</v>
      </c>
      <c r="B197" s="96" t="e">
        <f>AVERAGE(B154:B172)</f>
        <v>#DIV/0!</v>
      </c>
      <c r="C197" s="96"/>
    </row>
    <row r="200" customHeight="1" spans="1:7">
      <c r="A200" s="83" t="s">
        <v>165</v>
      </c>
      <c r="B200" s="83" t="s">
        <v>234</v>
      </c>
      <c r="C200" s="83"/>
      <c r="D200" s="83"/>
      <c r="E200" s="86">
        <f>(1-E255)^(1/3)-1</f>
        <v>-0.0286533453809115</v>
      </c>
      <c r="F200" s="86">
        <f>(1-F255)^(1/3)-1</f>
        <v>-0.03586921246529</v>
      </c>
      <c r="G200" s="86"/>
    </row>
    <row r="201" ht="72" spans="1:7">
      <c r="A201" s="83"/>
      <c r="B201" s="83" t="s">
        <v>167</v>
      </c>
      <c r="C201" s="83"/>
      <c r="D201" s="83" t="s">
        <v>168</v>
      </c>
      <c r="E201" s="83" t="s">
        <v>169</v>
      </c>
      <c r="F201" s="84" t="s">
        <v>169</v>
      </c>
      <c r="G201" s="84"/>
    </row>
    <row r="202" ht="24" spans="1:7">
      <c r="A202" s="83"/>
      <c r="B202" s="83" t="s">
        <v>235</v>
      </c>
      <c r="C202" s="83"/>
      <c r="D202" s="83" t="s">
        <v>171</v>
      </c>
      <c r="E202" s="534" t="s">
        <v>227</v>
      </c>
      <c r="F202" s="84"/>
      <c r="G202" s="267"/>
    </row>
    <row r="203" spans="1:7">
      <c r="A203" s="75">
        <v>1</v>
      </c>
      <c r="B203" s="76">
        <v>2</v>
      </c>
      <c r="C203" s="76"/>
      <c r="D203" s="76">
        <v>3</v>
      </c>
      <c r="E203" s="76">
        <v>4</v>
      </c>
      <c r="F203" s="77">
        <v>5</v>
      </c>
      <c r="G203" s="77"/>
    </row>
    <row r="204" spans="1:7">
      <c r="A204" s="530" t="s">
        <v>172</v>
      </c>
      <c r="B204" s="93">
        <v>0.001</v>
      </c>
      <c r="C204" s="89">
        <v>0</v>
      </c>
      <c r="D204" s="80">
        <v>0</v>
      </c>
      <c r="E204" s="80">
        <v>0</v>
      </c>
      <c r="F204" s="81">
        <v>0</v>
      </c>
      <c r="G204" s="81">
        <v>0</v>
      </c>
    </row>
    <row r="205" spans="1:7">
      <c r="A205" s="530" t="s">
        <v>173</v>
      </c>
      <c r="B205" s="93">
        <v>0.001</v>
      </c>
      <c r="C205" s="79">
        <f>B204</f>
        <v>0.001</v>
      </c>
      <c r="D205" s="80">
        <v>0</v>
      </c>
      <c r="E205" s="80">
        <v>0</v>
      </c>
      <c r="F205" s="81">
        <v>0</v>
      </c>
      <c r="G205" s="81">
        <v>0</v>
      </c>
    </row>
    <row r="206" spans="1:7">
      <c r="A206" s="530" t="s">
        <v>174</v>
      </c>
      <c r="B206" s="93">
        <v>0.001</v>
      </c>
      <c r="C206" s="79">
        <f t="shared" ref="C206:C254" si="4">B205</f>
        <v>0.001</v>
      </c>
      <c r="D206" s="80">
        <v>0</v>
      </c>
      <c r="E206" s="80">
        <v>0</v>
      </c>
      <c r="F206" s="81">
        <v>0</v>
      </c>
      <c r="G206" s="81">
        <v>0</v>
      </c>
    </row>
    <row r="207" spans="1:7">
      <c r="A207" s="530" t="s">
        <v>175</v>
      </c>
      <c r="B207" s="93">
        <v>0.001</v>
      </c>
      <c r="C207" s="79">
        <f t="shared" si="4"/>
        <v>0.001</v>
      </c>
      <c r="D207" s="80">
        <v>0</v>
      </c>
      <c r="E207" s="80">
        <v>0</v>
      </c>
      <c r="F207" s="81">
        <v>0</v>
      </c>
      <c r="G207" s="81">
        <v>0</v>
      </c>
    </row>
    <row r="208" spans="1:7">
      <c r="A208" s="530" t="s">
        <v>176</v>
      </c>
      <c r="B208" s="93">
        <v>0.002</v>
      </c>
      <c r="C208" s="79">
        <f t="shared" si="4"/>
        <v>0.001</v>
      </c>
      <c r="D208" s="80">
        <v>0</v>
      </c>
      <c r="E208" s="80">
        <v>0</v>
      </c>
      <c r="F208" s="81">
        <v>0</v>
      </c>
      <c r="G208" s="81">
        <v>0</v>
      </c>
    </row>
    <row r="209" spans="1:7">
      <c r="A209" s="530" t="s">
        <v>177</v>
      </c>
      <c r="B209" s="93">
        <v>0.002</v>
      </c>
      <c r="C209" s="79">
        <f t="shared" si="4"/>
        <v>0.002</v>
      </c>
      <c r="D209" s="80">
        <v>0</v>
      </c>
      <c r="E209" s="80">
        <v>0</v>
      </c>
      <c r="F209" s="81">
        <v>0</v>
      </c>
      <c r="G209" s="81">
        <v>0</v>
      </c>
    </row>
    <row r="210" spans="1:7">
      <c r="A210" s="530" t="s">
        <v>178</v>
      </c>
      <c r="B210" s="93">
        <v>0.002</v>
      </c>
      <c r="C210" s="79">
        <f t="shared" si="4"/>
        <v>0.002</v>
      </c>
      <c r="D210" s="80">
        <v>0</v>
      </c>
      <c r="E210" s="80">
        <v>0</v>
      </c>
      <c r="F210" s="81">
        <v>0</v>
      </c>
      <c r="G210" s="81">
        <v>0</v>
      </c>
    </row>
    <row r="211" spans="1:7">
      <c r="A211" s="78" t="s">
        <v>179</v>
      </c>
      <c r="B211" s="93">
        <v>0.003</v>
      </c>
      <c r="C211" s="79">
        <f t="shared" si="4"/>
        <v>0.002</v>
      </c>
      <c r="D211" s="80">
        <v>0</v>
      </c>
      <c r="E211" s="80">
        <v>0</v>
      </c>
      <c r="F211" s="81">
        <v>0</v>
      </c>
      <c r="G211" s="81">
        <v>0</v>
      </c>
    </row>
    <row r="212" spans="1:7">
      <c r="A212" s="78" t="s">
        <v>180</v>
      </c>
      <c r="B212" s="93">
        <v>0.003</v>
      </c>
      <c r="C212" s="79">
        <f t="shared" si="4"/>
        <v>0.003</v>
      </c>
      <c r="D212" s="80">
        <v>0</v>
      </c>
      <c r="E212" s="80">
        <v>0</v>
      </c>
      <c r="F212" s="81">
        <v>0</v>
      </c>
      <c r="G212" s="81">
        <v>0</v>
      </c>
    </row>
    <row r="213" spans="1:7">
      <c r="A213" s="78" t="s">
        <v>181</v>
      </c>
      <c r="B213" s="93">
        <v>0.004</v>
      </c>
      <c r="C213" s="79">
        <f t="shared" si="4"/>
        <v>0.003</v>
      </c>
      <c r="D213" s="80">
        <v>0</v>
      </c>
      <c r="E213" s="80">
        <v>0</v>
      </c>
      <c r="F213" s="81">
        <v>0</v>
      </c>
      <c r="G213" s="81">
        <v>0</v>
      </c>
    </row>
    <row r="214" spans="1:7">
      <c r="A214" s="78" t="s">
        <v>182</v>
      </c>
      <c r="B214" s="93">
        <v>0.004</v>
      </c>
      <c r="C214" s="79">
        <f t="shared" si="4"/>
        <v>0.004</v>
      </c>
      <c r="D214" s="80">
        <v>0</v>
      </c>
      <c r="E214" s="80">
        <v>0</v>
      </c>
      <c r="F214" s="81">
        <v>0</v>
      </c>
      <c r="G214" s="81">
        <v>0</v>
      </c>
    </row>
    <row r="215" spans="1:7">
      <c r="A215" s="78" t="s">
        <v>183</v>
      </c>
      <c r="B215" s="93">
        <v>0.004</v>
      </c>
      <c r="C215" s="79">
        <f t="shared" si="4"/>
        <v>0.004</v>
      </c>
      <c r="D215" s="80">
        <v>0</v>
      </c>
      <c r="E215" s="80">
        <v>0</v>
      </c>
      <c r="F215" s="81">
        <v>0</v>
      </c>
      <c r="G215" s="81">
        <v>0</v>
      </c>
    </row>
    <row r="216" spans="1:7">
      <c r="A216" s="78" t="s">
        <v>184</v>
      </c>
      <c r="B216" s="93">
        <v>0.005</v>
      </c>
      <c r="C216" s="79">
        <f t="shared" si="4"/>
        <v>0.004</v>
      </c>
      <c r="D216" s="80">
        <v>0</v>
      </c>
      <c r="E216" s="80">
        <v>0</v>
      </c>
      <c r="F216" s="81">
        <v>0</v>
      </c>
      <c r="G216" s="81">
        <v>0</v>
      </c>
    </row>
    <row r="217" spans="1:7">
      <c r="A217" s="78" t="s">
        <v>185</v>
      </c>
      <c r="B217" s="93">
        <v>0.005</v>
      </c>
      <c r="C217" s="79">
        <f t="shared" si="4"/>
        <v>0.005</v>
      </c>
      <c r="D217" s="80">
        <v>0</v>
      </c>
      <c r="E217" s="80">
        <v>0</v>
      </c>
      <c r="F217" s="81">
        <v>0</v>
      </c>
      <c r="G217" s="81">
        <v>0</v>
      </c>
    </row>
    <row r="218" spans="1:7">
      <c r="A218" s="78" t="s">
        <v>186</v>
      </c>
      <c r="B218" s="93">
        <v>0.005</v>
      </c>
      <c r="C218" s="79">
        <f t="shared" si="4"/>
        <v>0.005</v>
      </c>
      <c r="D218" s="80">
        <v>0</v>
      </c>
      <c r="E218" s="80">
        <v>0</v>
      </c>
      <c r="F218" s="81">
        <v>0</v>
      </c>
      <c r="G218" s="81">
        <v>0</v>
      </c>
    </row>
    <row r="219" spans="1:7">
      <c r="A219" s="78" t="s">
        <v>187</v>
      </c>
      <c r="B219" s="93">
        <v>0.005</v>
      </c>
      <c r="C219" s="79">
        <f t="shared" si="4"/>
        <v>0.005</v>
      </c>
      <c r="D219" s="80">
        <v>0</v>
      </c>
      <c r="E219" s="80">
        <v>0</v>
      </c>
      <c r="F219" s="81">
        <v>0</v>
      </c>
      <c r="G219" s="81">
        <v>0</v>
      </c>
    </row>
    <row r="220" spans="1:7">
      <c r="A220" s="78" t="s">
        <v>188</v>
      </c>
      <c r="B220" s="93">
        <v>0.006</v>
      </c>
      <c r="C220" s="79">
        <f t="shared" si="4"/>
        <v>0.005</v>
      </c>
      <c r="D220" s="80">
        <v>0</v>
      </c>
      <c r="E220" s="80">
        <v>0</v>
      </c>
      <c r="F220" s="81">
        <v>0</v>
      </c>
      <c r="G220" s="81">
        <v>0</v>
      </c>
    </row>
    <row r="221" spans="1:7">
      <c r="A221" s="78" t="s">
        <v>189</v>
      </c>
      <c r="B221" s="93">
        <v>0.006</v>
      </c>
      <c r="C221" s="79">
        <f t="shared" si="4"/>
        <v>0.006</v>
      </c>
      <c r="D221" s="80">
        <v>0</v>
      </c>
      <c r="E221" s="80">
        <v>0</v>
      </c>
      <c r="F221" s="81">
        <v>0</v>
      </c>
      <c r="G221" s="81">
        <v>0</v>
      </c>
    </row>
    <row r="222" spans="1:7">
      <c r="A222" s="78" t="s">
        <v>190</v>
      </c>
      <c r="B222" s="93">
        <v>0.006</v>
      </c>
      <c r="C222" s="79">
        <f t="shared" si="4"/>
        <v>0.006</v>
      </c>
      <c r="D222" s="80">
        <v>0</v>
      </c>
      <c r="E222" s="80">
        <v>0</v>
      </c>
      <c r="F222" s="81">
        <v>0</v>
      </c>
      <c r="G222" s="81">
        <v>0</v>
      </c>
    </row>
    <row r="223" spans="1:7">
      <c r="A223" s="78" t="s">
        <v>191</v>
      </c>
      <c r="B223" s="93">
        <v>0.007</v>
      </c>
      <c r="C223" s="79">
        <f t="shared" si="4"/>
        <v>0.006</v>
      </c>
      <c r="D223" s="80">
        <v>0</v>
      </c>
      <c r="E223" s="80">
        <v>0</v>
      </c>
      <c r="F223" s="81">
        <v>0</v>
      </c>
      <c r="G223" s="81">
        <v>0</v>
      </c>
    </row>
    <row r="224" spans="1:7">
      <c r="A224" s="78" t="s">
        <v>192</v>
      </c>
      <c r="B224" s="93">
        <v>0.008</v>
      </c>
      <c r="C224" s="79">
        <f t="shared" si="4"/>
        <v>0.007</v>
      </c>
      <c r="D224" s="80">
        <v>0</v>
      </c>
      <c r="E224" s="80">
        <v>0</v>
      </c>
      <c r="F224" s="81">
        <v>0</v>
      </c>
      <c r="G224" s="81">
        <v>0</v>
      </c>
    </row>
    <row r="225" spans="1:7">
      <c r="A225" s="78" t="s">
        <v>193</v>
      </c>
      <c r="B225" s="93">
        <v>0.008</v>
      </c>
      <c r="C225" s="79">
        <f t="shared" si="4"/>
        <v>0.008</v>
      </c>
      <c r="D225" s="80">
        <v>0</v>
      </c>
      <c r="E225" s="80">
        <v>0</v>
      </c>
      <c r="F225" s="81">
        <v>0</v>
      </c>
      <c r="G225" s="81">
        <v>0</v>
      </c>
    </row>
    <row r="226" spans="1:7">
      <c r="A226" s="78" t="s">
        <v>194</v>
      </c>
      <c r="B226" s="93">
        <v>0.009</v>
      </c>
      <c r="C226" s="79">
        <f t="shared" si="4"/>
        <v>0.008</v>
      </c>
      <c r="D226" s="80">
        <v>0</v>
      </c>
      <c r="E226" s="80">
        <v>0</v>
      </c>
      <c r="F226" s="81">
        <v>0</v>
      </c>
      <c r="G226" s="81">
        <v>0</v>
      </c>
    </row>
    <row r="227" spans="1:7">
      <c r="A227" s="78" t="s">
        <v>195</v>
      </c>
      <c r="B227" s="119">
        <v>0.01</v>
      </c>
      <c r="C227" s="79">
        <f t="shared" si="4"/>
        <v>0.009</v>
      </c>
      <c r="D227" s="80">
        <v>0</v>
      </c>
      <c r="E227" s="80">
        <v>0</v>
      </c>
      <c r="F227" s="81">
        <v>0</v>
      </c>
      <c r="G227" s="81">
        <v>0</v>
      </c>
    </row>
    <row r="228" spans="1:7">
      <c r="A228" s="78" t="s">
        <v>196</v>
      </c>
      <c r="B228" s="93">
        <v>0.011</v>
      </c>
      <c r="C228" s="79">
        <f t="shared" si="4"/>
        <v>0.01</v>
      </c>
      <c r="D228" s="80">
        <v>0</v>
      </c>
      <c r="E228" s="80">
        <v>0</v>
      </c>
      <c r="F228" s="81">
        <v>0</v>
      </c>
      <c r="G228" s="81">
        <v>0</v>
      </c>
    </row>
    <row r="229" spans="1:7">
      <c r="A229" s="78" t="s">
        <v>197</v>
      </c>
      <c r="B229" s="93">
        <v>0.012</v>
      </c>
      <c r="C229" s="79">
        <f t="shared" si="4"/>
        <v>0.011</v>
      </c>
      <c r="D229" s="80">
        <v>0</v>
      </c>
      <c r="E229" s="80">
        <v>0</v>
      </c>
      <c r="F229" s="81">
        <v>0</v>
      </c>
      <c r="G229" s="81">
        <v>0</v>
      </c>
    </row>
    <row r="230" spans="1:7">
      <c r="A230" s="78" t="s">
        <v>198</v>
      </c>
      <c r="B230" s="93">
        <v>0.012</v>
      </c>
      <c r="C230" s="79">
        <f t="shared" si="4"/>
        <v>0.012</v>
      </c>
      <c r="D230" s="80">
        <v>0</v>
      </c>
      <c r="E230" s="80">
        <v>0</v>
      </c>
      <c r="F230" s="81">
        <v>0</v>
      </c>
      <c r="G230" s="81">
        <v>0</v>
      </c>
    </row>
    <row r="231" spans="1:7">
      <c r="A231" s="78" t="s">
        <v>199</v>
      </c>
      <c r="B231" s="93">
        <v>0.014</v>
      </c>
      <c r="C231" s="79">
        <f t="shared" si="4"/>
        <v>0.012</v>
      </c>
      <c r="D231" s="80">
        <v>0</v>
      </c>
      <c r="E231" s="80">
        <v>0</v>
      </c>
      <c r="F231" s="81">
        <v>0</v>
      </c>
      <c r="G231" s="81">
        <v>0</v>
      </c>
    </row>
    <row r="232" spans="1:7">
      <c r="A232" s="78" t="s">
        <v>200</v>
      </c>
      <c r="B232" s="93">
        <v>0.015</v>
      </c>
      <c r="C232" s="79">
        <f t="shared" si="4"/>
        <v>0.014</v>
      </c>
      <c r="D232" s="80">
        <v>0</v>
      </c>
      <c r="E232" s="80">
        <v>0</v>
      </c>
      <c r="F232" s="81">
        <v>0</v>
      </c>
      <c r="G232" s="81">
        <v>0</v>
      </c>
    </row>
    <row r="233" spans="1:7">
      <c r="A233" s="78" t="s">
        <v>201</v>
      </c>
      <c r="B233" s="93">
        <v>0.016</v>
      </c>
      <c r="C233" s="79">
        <f t="shared" si="4"/>
        <v>0.015</v>
      </c>
      <c r="D233" s="80">
        <v>0</v>
      </c>
      <c r="E233" s="80">
        <v>0</v>
      </c>
      <c r="F233" s="81">
        <v>0</v>
      </c>
      <c r="G233" s="81">
        <v>0</v>
      </c>
    </row>
    <row r="234" spans="1:7">
      <c r="A234" s="78" t="s">
        <v>202</v>
      </c>
      <c r="B234" s="93">
        <v>0.019</v>
      </c>
      <c r="C234" s="79">
        <f t="shared" si="4"/>
        <v>0.016</v>
      </c>
      <c r="D234" s="80">
        <v>0</v>
      </c>
      <c r="E234" s="80">
        <v>0</v>
      </c>
      <c r="F234" s="81">
        <v>0</v>
      </c>
      <c r="G234" s="81">
        <v>0</v>
      </c>
    </row>
    <row r="235" spans="1:7">
      <c r="A235" s="78" t="s">
        <v>203</v>
      </c>
      <c r="B235" s="93">
        <v>0.021</v>
      </c>
      <c r="C235" s="79">
        <f t="shared" si="4"/>
        <v>0.019</v>
      </c>
      <c r="D235" s="80">
        <v>0</v>
      </c>
      <c r="E235" s="80">
        <v>0</v>
      </c>
      <c r="F235" s="81">
        <v>0</v>
      </c>
      <c r="G235" s="81">
        <v>0</v>
      </c>
    </row>
    <row r="236" spans="1:7">
      <c r="A236" s="78" t="s">
        <v>204</v>
      </c>
      <c r="B236" s="93">
        <v>0.025</v>
      </c>
      <c r="C236" s="79">
        <f t="shared" si="4"/>
        <v>0.021</v>
      </c>
      <c r="D236" s="80">
        <v>0</v>
      </c>
      <c r="E236" s="80">
        <v>0</v>
      </c>
      <c r="F236" s="81">
        <v>0</v>
      </c>
      <c r="G236" s="81">
        <v>0</v>
      </c>
    </row>
    <row r="237" spans="1:7">
      <c r="A237" s="78" t="s">
        <v>205</v>
      </c>
      <c r="B237" s="93">
        <v>0.032</v>
      </c>
      <c r="C237" s="79">
        <f t="shared" si="4"/>
        <v>0.025</v>
      </c>
      <c r="D237" s="80">
        <v>0</v>
      </c>
      <c r="E237" s="80">
        <v>0</v>
      </c>
      <c r="F237" s="81">
        <v>0</v>
      </c>
      <c r="G237" s="81">
        <v>0</v>
      </c>
    </row>
    <row r="238" spans="1:7">
      <c r="A238" s="78" t="s">
        <v>206</v>
      </c>
      <c r="B238" s="93">
        <v>0.05</v>
      </c>
      <c r="C238" s="79">
        <f t="shared" si="4"/>
        <v>0.032</v>
      </c>
      <c r="D238" s="80">
        <v>0</v>
      </c>
      <c r="E238" s="80">
        <v>0</v>
      </c>
      <c r="F238" s="81">
        <v>0.00580000000000001</v>
      </c>
      <c r="G238" s="81">
        <v>0</v>
      </c>
    </row>
    <row r="239" spans="1:7">
      <c r="A239" s="78" t="s">
        <v>207</v>
      </c>
      <c r="B239" s="93">
        <v>0.07</v>
      </c>
      <c r="C239" s="79">
        <f t="shared" si="4"/>
        <v>0.05</v>
      </c>
      <c r="D239" s="80">
        <v>0</v>
      </c>
      <c r="E239" s="80"/>
      <c r="F239" s="81"/>
      <c r="G239" s="81"/>
    </row>
    <row r="240" spans="1:7">
      <c r="A240" s="78" t="s">
        <v>208</v>
      </c>
      <c r="B240" s="93">
        <v>0.18</v>
      </c>
      <c r="C240" s="79">
        <f t="shared" si="4"/>
        <v>0.07</v>
      </c>
      <c r="D240" s="80">
        <v>0.0750833333333332</v>
      </c>
      <c r="E240" s="80"/>
      <c r="F240" s="81"/>
      <c r="G240" s="81"/>
    </row>
    <row r="241" spans="1:7">
      <c r="A241" s="78" t="s">
        <v>209</v>
      </c>
      <c r="B241" s="93">
        <v>0.29</v>
      </c>
      <c r="C241" s="79">
        <f t="shared" si="4"/>
        <v>0.18</v>
      </c>
      <c r="D241" s="80">
        <v>0.425913793103448</v>
      </c>
      <c r="E241" s="80">
        <v>0.0555482758620689</v>
      </c>
      <c r="F241" s="81">
        <v>0.302551724137931</v>
      </c>
      <c r="G241" s="81">
        <v>0</v>
      </c>
    </row>
    <row r="242" spans="1:7">
      <c r="A242" s="78" t="s">
        <v>210</v>
      </c>
      <c r="B242" s="93">
        <v>0.57</v>
      </c>
      <c r="C242" s="79">
        <f t="shared" si="4"/>
        <v>0.29</v>
      </c>
      <c r="D242" s="80">
        <v>0.707921052631579</v>
      </c>
      <c r="E242" s="80">
        <v>0.224752631578947</v>
      </c>
      <c r="F242" s="81">
        <v>0.350421052631579</v>
      </c>
      <c r="G242" s="81">
        <v>0</v>
      </c>
    </row>
    <row r="243" spans="1:7">
      <c r="A243" s="78" t="s">
        <v>211</v>
      </c>
      <c r="B243" s="93">
        <v>0.93</v>
      </c>
      <c r="C243" s="79">
        <f t="shared" si="4"/>
        <v>0.57</v>
      </c>
      <c r="D243" s="80">
        <v>0.820983870967742</v>
      </c>
      <c r="E243" s="80">
        <v>0.292590322580645</v>
      </c>
      <c r="F243" s="81">
        <v>0.369612903225806</v>
      </c>
      <c r="G243" s="81">
        <v>0</v>
      </c>
    </row>
    <row r="244" spans="1:7">
      <c r="A244" s="78" t="s">
        <v>212</v>
      </c>
      <c r="B244" s="93">
        <v>1.12</v>
      </c>
      <c r="C244" s="79">
        <f t="shared" si="4"/>
        <v>0.93</v>
      </c>
      <c r="D244" s="80">
        <v>0.851352678571429</v>
      </c>
      <c r="E244" s="80">
        <v>0.310811607142857</v>
      </c>
      <c r="F244" s="81">
        <v>0.374767857142857</v>
      </c>
      <c r="G244" s="81">
        <v>0</v>
      </c>
    </row>
    <row r="245" spans="1:7">
      <c r="A245" s="78" t="s">
        <v>213</v>
      </c>
      <c r="B245" s="93">
        <v>1.34</v>
      </c>
      <c r="C245" s="79">
        <f t="shared" si="4"/>
        <v>1.12</v>
      </c>
      <c r="D245" s="80">
        <v>0.875757462686567</v>
      </c>
      <c r="E245" s="80">
        <v>0.32545447761194</v>
      </c>
      <c r="F245" s="81">
        <v>0.378910447761194</v>
      </c>
      <c r="G245" s="81">
        <v>0.0104477611940299</v>
      </c>
    </row>
    <row r="246" spans="1:7">
      <c r="A246" s="78" t="s">
        <v>214</v>
      </c>
      <c r="B246" s="93">
        <v>1.74</v>
      </c>
      <c r="C246" s="79">
        <f t="shared" si="4"/>
        <v>1.34</v>
      </c>
      <c r="D246" s="80">
        <v>0.904318965517241</v>
      </c>
      <c r="E246" s="80">
        <v>0.342591379310345</v>
      </c>
      <c r="F246" s="81">
        <v>0.383758620689655</v>
      </c>
      <c r="G246" s="81">
        <v>0.0310344827586207</v>
      </c>
    </row>
    <row r="247" spans="1:7">
      <c r="A247" s="78" t="s">
        <v>215</v>
      </c>
      <c r="B247" s="93">
        <v>2.09</v>
      </c>
      <c r="C247" s="79">
        <f t="shared" si="4"/>
        <v>1.74</v>
      </c>
      <c r="D247" s="80">
        <v>0.920342105263158</v>
      </c>
      <c r="E247" s="80">
        <v>0.352205263157895</v>
      </c>
      <c r="F247" s="81">
        <v>0.386478468899522</v>
      </c>
      <c r="G247" s="81">
        <v>0.0555023923444976</v>
      </c>
    </row>
    <row r="248" spans="1:7">
      <c r="A248" s="78" t="s">
        <v>216</v>
      </c>
      <c r="B248" s="93">
        <v>2.44</v>
      </c>
      <c r="C248" s="79">
        <f t="shared" si="4"/>
        <v>2.09</v>
      </c>
      <c r="D248" s="80">
        <v>0.931768442622951</v>
      </c>
      <c r="E248" s="80">
        <v>0.35906106557377</v>
      </c>
      <c r="F248" s="81">
        <v>0.388418032786885</v>
      </c>
      <c r="G248" s="81">
        <v>0.104918032786885</v>
      </c>
    </row>
    <row r="249" spans="1:7">
      <c r="A249" s="78" t="s">
        <v>217</v>
      </c>
      <c r="B249" s="93">
        <v>2.92</v>
      </c>
      <c r="C249" s="79">
        <f t="shared" si="4"/>
        <v>2.44</v>
      </c>
      <c r="D249" s="80">
        <v>0.942984589041096</v>
      </c>
      <c r="E249" s="80">
        <v>0.365790753424658</v>
      </c>
      <c r="F249" s="81">
        <v>0.390321917808219</v>
      </c>
      <c r="G249" s="81">
        <v>0.153424657534247</v>
      </c>
    </row>
    <row r="250" spans="1:7">
      <c r="A250" s="78" t="s">
        <v>218</v>
      </c>
      <c r="B250" s="103">
        <v>3.9</v>
      </c>
      <c r="C250" s="79">
        <f t="shared" si="4"/>
        <v>2.92</v>
      </c>
      <c r="D250" s="80">
        <v>0.957311538461538</v>
      </c>
      <c r="E250" s="80">
        <v>0.374386923076923</v>
      </c>
      <c r="F250" s="81">
        <v>0.392753846153846</v>
      </c>
      <c r="G250" s="81">
        <v>0.215384615384615</v>
      </c>
    </row>
    <row r="251" spans="1:7">
      <c r="A251" s="78" t="s">
        <v>219</v>
      </c>
      <c r="B251" s="93">
        <v>5.62</v>
      </c>
      <c r="C251" s="79">
        <f t="shared" si="4"/>
        <v>3.9</v>
      </c>
      <c r="D251" s="80">
        <v>0.970376334519573</v>
      </c>
      <c r="E251" s="80">
        <v>0.382225800711744</v>
      </c>
      <c r="F251" s="81">
        <v>0.39497153024911</v>
      </c>
      <c r="G251" s="81">
        <v>0.271886120996441</v>
      </c>
    </row>
    <row r="252" spans="1:7">
      <c r="A252" s="78" t="s">
        <v>220</v>
      </c>
      <c r="B252" s="93">
        <v>9.84</v>
      </c>
      <c r="C252" s="79">
        <f t="shared" si="4"/>
        <v>5.62</v>
      </c>
      <c r="D252" s="80">
        <v>0.983080792682927</v>
      </c>
      <c r="E252" s="80">
        <v>0.389848475609756</v>
      </c>
      <c r="F252" s="81">
        <v>0.397128048780488</v>
      </c>
      <c r="G252" s="81">
        <v>0.326829268292683</v>
      </c>
    </row>
    <row r="253" spans="1:7">
      <c r="A253" s="78" t="s">
        <v>221</v>
      </c>
      <c r="B253" s="314">
        <v>14.8</v>
      </c>
      <c r="C253" s="79">
        <f t="shared" si="4"/>
        <v>9.84</v>
      </c>
      <c r="D253" s="80">
        <v>0.988751013513514</v>
      </c>
      <c r="E253" s="80">
        <v>0.393250608108108</v>
      </c>
      <c r="F253" s="81">
        <v>0.398090540540541</v>
      </c>
      <c r="G253" s="81">
        <v>0.351351351351351</v>
      </c>
    </row>
    <row r="254" spans="1:7">
      <c r="A254" s="78" t="s">
        <v>221</v>
      </c>
      <c r="B254" s="78" t="s">
        <v>370</v>
      </c>
      <c r="C254" s="79">
        <f t="shared" si="4"/>
        <v>14.8</v>
      </c>
      <c r="D254" s="117"/>
      <c r="E254" s="83"/>
      <c r="F254" s="84"/>
      <c r="G254" s="84"/>
    </row>
    <row r="255" spans="1:7">
      <c r="A255" s="78"/>
      <c r="B255" s="78"/>
      <c r="C255" s="78"/>
      <c r="D255" s="117"/>
      <c r="E255" s="85">
        <v>0.0835205183416598</v>
      </c>
      <c r="F255" s="86">
        <v>0.103793985530438</v>
      </c>
      <c r="G255" s="86">
        <v>0.0304155736528674</v>
      </c>
    </row>
    <row r="256" ht="48" spans="1:7">
      <c r="A256" s="87" t="s">
        <v>233</v>
      </c>
      <c r="B256" s="78">
        <v>2</v>
      </c>
      <c r="C256" s="78"/>
      <c r="D256" s="117"/>
      <c r="F256" s="128">
        <v>0.0785</v>
      </c>
      <c r="G256" s="129">
        <v>2</v>
      </c>
    </row>
    <row r="257" ht="48" spans="1:7">
      <c r="A257" s="87" t="s">
        <v>224</v>
      </c>
      <c r="B257" s="78">
        <v>0.9</v>
      </c>
      <c r="C257" s="78"/>
      <c r="D257" s="83"/>
      <c r="E257" s="315">
        <v>0.277475</v>
      </c>
      <c r="F257" s="84"/>
      <c r="G257" s="84"/>
    </row>
    <row r="258" ht="84" spans="1:7">
      <c r="A258" s="106" t="s">
        <v>225</v>
      </c>
      <c r="B258" s="78">
        <v>1.2</v>
      </c>
      <c r="C258" s="78"/>
      <c r="D258" s="83"/>
      <c r="E258" s="315">
        <v>0.166485</v>
      </c>
      <c r="F258" s="84">
        <v>0.0471</v>
      </c>
      <c r="G258" s="84">
        <v>1.2</v>
      </c>
    </row>
    <row r="261" spans="1:3">
      <c r="A261" s="531" t="s">
        <v>226</v>
      </c>
      <c r="B261" s="95">
        <f>AVERAGE(B209:B248)</f>
        <v>0.277475</v>
      </c>
      <c r="C261" s="95"/>
    </row>
    <row r="262" spans="1:3">
      <c r="A262" s="531" t="s">
        <v>227</v>
      </c>
      <c r="B262" s="96">
        <f>AVERAGE(B214:B243)</f>
        <v>0.0785</v>
      </c>
      <c r="C262" s="96"/>
    </row>
    <row r="263" spans="1:3">
      <c r="A263" s="531" t="s">
        <v>228</v>
      </c>
      <c r="B263" s="96">
        <f>AVERAGE(B220:B238)</f>
        <v>0.0151052631578947</v>
      </c>
      <c r="C263" s="96"/>
    </row>
    <row r="266" customHeight="1" spans="1:7">
      <c r="A266" s="83" t="s">
        <v>165</v>
      </c>
      <c r="B266" s="78" t="s">
        <v>363</v>
      </c>
      <c r="C266" s="78"/>
      <c r="D266" s="78"/>
      <c r="E266" s="86">
        <f>(1-E321)^(1/3)-1</f>
        <v>0</v>
      </c>
      <c r="F266" s="86">
        <f>(1-F321)^(1/3)-1</f>
        <v>0</v>
      </c>
      <c r="G266" s="86"/>
    </row>
    <row r="267" ht="72.75" spans="1:7">
      <c r="A267" s="83"/>
      <c r="B267" s="83" t="s">
        <v>167</v>
      </c>
      <c r="C267" s="130"/>
      <c r="D267" s="83" t="s">
        <v>168</v>
      </c>
      <c r="E267" s="83" t="s">
        <v>169</v>
      </c>
      <c r="F267" s="84" t="s">
        <v>169</v>
      </c>
      <c r="G267" s="84"/>
    </row>
    <row r="268" ht="24" spans="1:7">
      <c r="A268" s="83"/>
      <c r="B268" s="78" t="s">
        <v>364</v>
      </c>
      <c r="D268" s="141" t="s">
        <v>171</v>
      </c>
      <c r="E268" s="141" t="s">
        <v>171</v>
      </c>
      <c r="F268" s="141" t="s">
        <v>171</v>
      </c>
      <c r="G268" s="141"/>
    </row>
    <row r="269" spans="1:7">
      <c r="A269" s="75">
        <v>1</v>
      </c>
      <c r="B269" s="76">
        <v>2</v>
      </c>
      <c r="D269" s="76">
        <v>3</v>
      </c>
      <c r="E269" s="76">
        <v>4</v>
      </c>
      <c r="F269" s="77">
        <v>5</v>
      </c>
      <c r="G269" s="77"/>
    </row>
    <row r="270" spans="1:7">
      <c r="A270" s="530" t="s">
        <v>172</v>
      </c>
      <c r="B270" s="93"/>
      <c r="C270">
        <v>0</v>
      </c>
      <c r="D270" s="80">
        <f t="shared" ref="D270:D319" si="5">IF(B270=0,0,IF(B270&lt;=E$324,0,B270-E$324)/B270)</f>
        <v>0</v>
      </c>
      <c r="E270" s="80"/>
      <c r="F270" s="81"/>
      <c r="G270" s="81"/>
    </row>
    <row r="271" spans="1:7">
      <c r="A271" s="530" t="s">
        <v>173</v>
      </c>
      <c r="B271" s="93"/>
      <c r="C271" s="79">
        <f>B270</f>
        <v>0</v>
      </c>
      <c r="D271" s="80">
        <f t="shared" si="5"/>
        <v>0</v>
      </c>
      <c r="E271" s="80"/>
      <c r="F271" s="81"/>
      <c r="G271" s="81"/>
    </row>
    <row r="272" spans="1:7">
      <c r="A272" s="530" t="s">
        <v>174</v>
      </c>
      <c r="B272" s="93"/>
      <c r="C272" s="79">
        <f t="shared" ref="C272:C320" si="6">B271</f>
        <v>0</v>
      </c>
      <c r="D272" s="80">
        <f t="shared" si="5"/>
        <v>0</v>
      </c>
      <c r="E272" s="80"/>
      <c r="F272" s="81"/>
      <c r="G272" s="81"/>
    </row>
    <row r="273" spans="1:7">
      <c r="A273" s="530" t="s">
        <v>175</v>
      </c>
      <c r="B273" s="93"/>
      <c r="C273" s="79">
        <f t="shared" si="6"/>
        <v>0</v>
      </c>
      <c r="D273" s="80">
        <f t="shared" si="5"/>
        <v>0</v>
      </c>
      <c r="E273" s="80"/>
      <c r="F273" s="81"/>
      <c r="G273" s="81"/>
    </row>
    <row r="274" spans="1:7">
      <c r="A274" s="530" t="s">
        <v>176</v>
      </c>
      <c r="B274" s="93"/>
      <c r="C274" s="79">
        <f t="shared" si="6"/>
        <v>0</v>
      </c>
      <c r="D274" s="80">
        <f t="shared" si="5"/>
        <v>0</v>
      </c>
      <c r="E274" s="80"/>
      <c r="F274" s="81"/>
      <c r="G274" s="81"/>
    </row>
    <row r="275" spans="1:7">
      <c r="A275" s="530" t="s">
        <v>177</v>
      </c>
      <c r="B275" s="93"/>
      <c r="C275" s="79">
        <f t="shared" si="6"/>
        <v>0</v>
      </c>
      <c r="D275" s="80">
        <f t="shared" si="5"/>
        <v>0</v>
      </c>
      <c r="E275" s="80"/>
      <c r="F275" s="81"/>
      <c r="G275" s="81"/>
    </row>
    <row r="276" spans="1:7">
      <c r="A276" s="530" t="s">
        <v>178</v>
      </c>
      <c r="B276" s="93"/>
      <c r="C276" s="79">
        <f t="shared" si="6"/>
        <v>0</v>
      </c>
      <c r="D276" s="80">
        <f t="shared" si="5"/>
        <v>0</v>
      </c>
      <c r="E276" s="80"/>
      <c r="F276" s="81"/>
      <c r="G276" s="81"/>
    </row>
    <row r="277" spans="1:7">
      <c r="A277" s="78" t="s">
        <v>179</v>
      </c>
      <c r="B277" s="93"/>
      <c r="C277" s="79">
        <f t="shared" si="6"/>
        <v>0</v>
      </c>
      <c r="D277" s="80">
        <f t="shared" si="5"/>
        <v>0</v>
      </c>
      <c r="E277" s="80"/>
      <c r="F277" s="81"/>
      <c r="G277" s="81"/>
    </row>
    <row r="278" spans="1:7">
      <c r="A278" s="78" t="s">
        <v>180</v>
      </c>
      <c r="B278" s="93"/>
      <c r="C278" s="79">
        <f t="shared" si="6"/>
        <v>0</v>
      </c>
      <c r="D278" s="80">
        <f t="shared" si="5"/>
        <v>0</v>
      </c>
      <c r="E278" s="80"/>
      <c r="F278" s="81"/>
      <c r="G278" s="81"/>
    </row>
    <row r="279" spans="1:7">
      <c r="A279" s="78" t="s">
        <v>181</v>
      </c>
      <c r="B279" s="93"/>
      <c r="C279" s="79">
        <f t="shared" si="6"/>
        <v>0</v>
      </c>
      <c r="D279" s="80">
        <f t="shared" si="5"/>
        <v>0</v>
      </c>
      <c r="E279" s="80"/>
      <c r="F279" s="81"/>
      <c r="G279" s="81"/>
    </row>
    <row r="280" spans="1:7">
      <c r="A280" s="78" t="s">
        <v>182</v>
      </c>
      <c r="B280" s="93"/>
      <c r="C280" s="79">
        <f t="shared" si="6"/>
        <v>0</v>
      </c>
      <c r="D280" s="80">
        <f t="shared" si="5"/>
        <v>0</v>
      </c>
      <c r="E280" s="80"/>
      <c r="F280" s="81"/>
      <c r="G280" s="81"/>
    </row>
    <row r="281" spans="1:7">
      <c r="A281" s="78" t="s">
        <v>183</v>
      </c>
      <c r="B281" s="93"/>
      <c r="C281" s="79">
        <f t="shared" si="6"/>
        <v>0</v>
      </c>
      <c r="D281" s="80">
        <f t="shared" si="5"/>
        <v>0</v>
      </c>
      <c r="E281" s="80"/>
      <c r="F281" s="81"/>
      <c r="G281" s="81"/>
    </row>
    <row r="282" spans="1:7">
      <c r="A282" s="78" t="s">
        <v>184</v>
      </c>
      <c r="B282" s="93"/>
      <c r="C282" s="79">
        <f t="shared" si="6"/>
        <v>0</v>
      </c>
      <c r="D282" s="80">
        <f t="shared" si="5"/>
        <v>0</v>
      </c>
      <c r="E282" s="80"/>
      <c r="F282" s="81"/>
      <c r="G282" s="81"/>
    </row>
    <row r="283" spans="1:7">
      <c r="A283" s="78" t="s">
        <v>185</v>
      </c>
      <c r="B283" s="93"/>
      <c r="C283" s="79">
        <f t="shared" si="6"/>
        <v>0</v>
      </c>
      <c r="D283" s="80">
        <f t="shared" si="5"/>
        <v>0</v>
      </c>
      <c r="E283" s="80"/>
      <c r="F283" s="81"/>
      <c r="G283" s="81"/>
    </row>
    <row r="284" spans="1:7">
      <c r="A284" s="78" t="s">
        <v>186</v>
      </c>
      <c r="B284" s="93"/>
      <c r="C284" s="79">
        <f t="shared" si="6"/>
        <v>0</v>
      </c>
      <c r="D284" s="80">
        <f t="shared" si="5"/>
        <v>0</v>
      </c>
      <c r="E284" s="80"/>
      <c r="F284" s="81"/>
      <c r="G284" s="81"/>
    </row>
    <row r="285" spans="1:7">
      <c r="A285" s="78" t="s">
        <v>187</v>
      </c>
      <c r="B285" s="93"/>
      <c r="C285" s="79">
        <f t="shared" si="6"/>
        <v>0</v>
      </c>
      <c r="D285" s="80">
        <f t="shared" si="5"/>
        <v>0</v>
      </c>
      <c r="E285" s="80"/>
      <c r="F285" s="81"/>
      <c r="G285" s="81"/>
    </row>
    <row r="286" spans="1:7">
      <c r="A286" s="78" t="s">
        <v>188</v>
      </c>
      <c r="B286" s="93"/>
      <c r="C286" s="79">
        <f t="shared" si="6"/>
        <v>0</v>
      </c>
      <c r="D286" s="80">
        <f t="shared" si="5"/>
        <v>0</v>
      </c>
      <c r="E286" s="80"/>
      <c r="F286" s="81"/>
      <c r="G286" s="81"/>
    </row>
    <row r="287" spans="1:7">
      <c r="A287" s="78" t="s">
        <v>189</v>
      </c>
      <c r="B287" s="93"/>
      <c r="C287" s="79">
        <f t="shared" si="6"/>
        <v>0</v>
      </c>
      <c r="D287" s="80">
        <f t="shared" si="5"/>
        <v>0</v>
      </c>
      <c r="E287" s="80"/>
      <c r="F287" s="81"/>
      <c r="G287" s="81"/>
    </row>
    <row r="288" spans="1:7">
      <c r="A288" s="78" t="s">
        <v>190</v>
      </c>
      <c r="B288" s="93"/>
      <c r="C288" s="79">
        <f t="shared" si="6"/>
        <v>0</v>
      </c>
      <c r="D288" s="80">
        <f t="shared" si="5"/>
        <v>0</v>
      </c>
      <c r="E288" s="80"/>
      <c r="F288" s="81"/>
      <c r="G288" s="81"/>
    </row>
    <row r="289" spans="1:7">
      <c r="A289" s="78" t="s">
        <v>191</v>
      </c>
      <c r="B289" s="93"/>
      <c r="C289" s="79">
        <f t="shared" si="6"/>
        <v>0</v>
      </c>
      <c r="D289" s="80">
        <f t="shared" si="5"/>
        <v>0</v>
      </c>
      <c r="E289" s="80"/>
      <c r="F289" s="81"/>
      <c r="G289" s="81"/>
    </row>
    <row r="290" spans="1:7">
      <c r="A290" s="78" t="s">
        <v>192</v>
      </c>
      <c r="B290" s="93"/>
      <c r="C290" s="79">
        <f t="shared" si="6"/>
        <v>0</v>
      </c>
      <c r="D290" s="80">
        <f t="shared" si="5"/>
        <v>0</v>
      </c>
      <c r="E290" s="80"/>
      <c r="F290" s="81"/>
      <c r="G290" s="81"/>
    </row>
    <row r="291" spans="1:7">
      <c r="A291" s="78" t="s">
        <v>193</v>
      </c>
      <c r="B291" s="93"/>
      <c r="C291" s="79">
        <f t="shared" si="6"/>
        <v>0</v>
      </c>
      <c r="D291" s="80">
        <f t="shared" si="5"/>
        <v>0</v>
      </c>
      <c r="E291" s="80"/>
      <c r="F291" s="81"/>
      <c r="G291" s="81"/>
    </row>
    <row r="292" spans="1:7">
      <c r="A292" s="78" t="s">
        <v>194</v>
      </c>
      <c r="B292" s="93"/>
      <c r="C292" s="79">
        <f t="shared" si="6"/>
        <v>0</v>
      </c>
      <c r="D292" s="80">
        <f t="shared" si="5"/>
        <v>0</v>
      </c>
      <c r="E292" s="80"/>
      <c r="F292" s="81"/>
      <c r="G292" s="81"/>
    </row>
    <row r="293" spans="1:7">
      <c r="A293" s="78" t="s">
        <v>195</v>
      </c>
      <c r="B293" s="93"/>
      <c r="C293" s="79">
        <f t="shared" si="6"/>
        <v>0</v>
      </c>
      <c r="D293" s="80">
        <f t="shared" si="5"/>
        <v>0</v>
      </c>
      <c r="E293" s="80"/>
      <c r="F293" s="81"/>
      <c r="G293" s="81"/>
    </row>
    <row r="294" spans="1:7">
      <c r="A294" s="78" t="s">
        <v>196</v>
      </c>
      <c r="B294" s="93"/>
      <c r="C294" s="79">
        <f t="shared" si="6"/>
        <v>0</v>
      </c>
      <c r="D294" s="80">
        <f t="shared" si="5"/>
        <v>0</v>
      </c>
      <c r="E294" s="80"/>
      <c r="F294" s="81"/>
      <c r="G294" s="81"/>
    </row>
    <row r="295" spans="1:7">
      <c r="A295" s="78" t="s">
        <v>197</v>
      </c>
      <c r="B295" s="93"/>
      <c r="C295" s="79">
        <f t="shared" si="6"/>
        <v>0</v>
      </c>
      <c r="D295" s="80">
        <f t="shared" si="5"/>
        <v>0</v>
      </c>
      <c r="E295" s="80"/>
      <c r="F295" s="81"/>
      <c r="G295" s="81"/>
    </row>
    <row r="296" spans="1:7">
      <c r="A296" s="78" t="s">
        <v>198</v>
      </c>
      <c r="B296" s="93"/>
      <c r="C296" s="79">
        <f t="shared" si="6"/>
        <v>0</v>
      </c>
      <c r="D296" s="80">
        <f t="shared" si="5"/>
        <v>0</v>
      </c>
      <c r="E296" s="80"/>
      <c r="F296" s="81"/>
      <c r="G296" s="81"/>
    </row>
    <row r="297" spans="1:7">
      <c r="A297" s="78" t="s">
        <v>199</v>
      </c>
      <c r="B297" s="93"/>
      <c r="C297" s="79">
        <f t="shared" si="6"/>
        <v>0</v>
      </c>
      <c r="D297" s="80">
        <f t="shared" si="5"/>
        <v>0</v>
      </c>
      <c r="E297" s="80"/>
      <c r="F297" s="81"/>
      <c r="G297" s="81"/>
    </row>
    <row r="298" spans="1:7">
      <c r="A298" s="78" t="s">
        <v>200</v>
      </c>
      <c r="B298" s="93"/>
      <c r="C298" s="79">
        <f t="shared" si="6"/>
        <v>0</v>
      </c>
      <c r="D298" s="80">
        <f t="shared" si="5"/>
        <v>0</v>
      </c>
      <c r="E298" s="80"/>
      <c r="F298" s="81"/>
      <c r="G298" s="81"/>
    </row>
    <row r="299" spans="1:7">
      <c r="A299" s="78" t="s">
        <v>201</v>
      </c>
      <c r="B299" s="93"/>
      <c r="C299" s="79">
        <f t="shared" si="6"/>
        <v>0</v>
      </c>
      <c r="D299" s="80">
        <f t="shared" si="5"/>
        <v>0</v>
      </c>
      <c r="E299" s="80"/>
      <c r="F299" s="81"/>
      <c r="G299" s="81"/>
    </row>
    <row r="300" spans="1:7">
      <c r="A300" s="78" t="s">
        <v>202</v>
      </c>
      <c r="B300" s="93"/>
      <c r="C300" s="79">
        <f t="shared" si="6"/>
        <v>0</v>
      </c>
      <c r="D300" s="80">
        <f t="shared" si="5"/>
        <v>0</v>
      </c>
      <c r="E300" s="80"/>
      <c r="F300" s="81"/>
      <c r="G300" s="81"/>
    </row>
    <row r="301" spans="1:7">
      <c r="A301" s="78" t="s">
        <v>203</v>
      </c>
      <c r="B301" s="93"/>
      <c r="C301" s="79">
        <f t="shared" si="6"/>
        <v>0</v>
      </c>
      <c r="D301" s="80">
        <f t="shared" si="5"/>
        <v>0</v>
      </c>
      <c r="E301" s="80"/>
      <c r="F301" s="81"/>
      <c r="G301" s="81"/>
    </row>
    <row r="302" spans="1:7">
      <c r="A302" s="78" t="s">
        <v>204</v>
      </c>
      <c r="B302" s="93"/>
      <c r="C302" s="79">
        <f t="shared" si="6"/>
        <v>0</v>
      </c>
      <c r="D302" s="80">
        <f t="shared" si="5"/>
        <v>0</v>
      </c>
      <c r="E302" s="80"/>
      <c r="F302" s="81"/>
      <c r="G302" s="81"/>
    </row>
    <row r="303" spans="1:7">
      <c r="A303" s="78" t="s">
        <v>205</v>
      </c>
      <c r="B303" s="93"/>
      <c r="C303" s="79">
        <f t="shared" si="6"/>
        <v>0</v>
      </c>
      <c r="D303" s="80">
        <f t="shared" si="5"/>
        <v>0</v>
      </c>
      <c r="E303" s="80"/>
      <c r="F303" s="81"/>
      <c r="G303" s="81"/>
    </row>
    <row r="304" spans="1:7">
      <c r="A304" s="78" t="s">
        <v>206</v>
      </c>
      <c r="B304" s="93"/>
      <c r="C304" s="79">
        <f t="shared" si="6"/>
        <v>0</v>
      </c>
      <c r="D304" s="80">
        <f t="shared" si="5"/>
        <v>0</v>
      </c>
      <c r="E304" s="80"/>
      <c r="F304" s="81"/>
      <c r="G304" s="81"/>
    </row>
    <row r="305" spans="1:7">
      <c r="A305" s="78" t="s">
        <v>207</v>
      </c>
      <c r="B305" s="93"/>
      <c r="C305" s="79">
        <f t="shared" si="6"/>
        <v>0</v>
      </c>
      <c r="D305" s="80">
        <f t="shared" si="5"/>
        <v>0</v>
      </c>
      <c r="E305" s="80"/>
      <c r="F305" s="81"/>
      <c r="G305" s="81"/>
    </row>
    <row r="306" spans="1:7">
      <c r="A306" s="78" t="s">
        <v>208</v>
      </c>
      <c r="B306" s="93"/>
      <c r="C306" s="79">
        <f t="shared" si="6"/>
        <v>0</v>
      </c>
      <c r="D306" s="80">
        <f t="shared" si="5"/>
        <v>0</v>
      </c>
      <c r="E306" s="80"/>
      <c r="F306" s="81"/>
      <c r="G306" s="81"/>
    </row>
    <row r="307" spans="1:7">
      <c r="A307" s="78" t="s">
        <v>209</v>
      </c>
      <c r="B307" s="93"/>
      <c r="C307" s="79">
        <f t="shared" si="6"/>
        <v>0</v>
      </c>
      <c r="D307" s="80">
        <f t="shared" si="5"/>
        <v>0</v>
      </c>
      <c r="E307" s="80"/>
      <c r="F307" s="81"/>
      <c r="G307" s="81"/>
    </row>
    <row r="308" spans="1:7">
      <c r="A308" s="78" t="s">
        <v>210</v>
      </c>
      <c r="B308" s="93"/>
      <c r="C308" s="79">
        <f t="shared" si="6"/>
        <v>0</v>
      </c>
      <c r="D308" s="80">
        <f t="shared" si="5"/>
        <v>0</v>
      </c>
      <c r="E308" s="80"/>
      <c r="F308" s="81"/>
      <c r="G308" s="81"/>
    </row>
    <row r="309" spans="1:7">
      <c r="A309" s="78" t="s">
        <v>211</v>
      </c>
      <c r="B309" s="93"/>
      <c r="C309" s="79">
        <f t="shared" si="6"/>
        <v>0</v>
      </c>
      <c r="D309" s="80">
        <f t="shared" si="5"/>
        <v>0</v>
      </c>
      <c r="E309" s="80"/>
      <c r="F309" s="81"/>
      <c r="G309" s="81"/>
    </row>
    <row r="310" spans="1:7">
      <c r="A310" s="78" t="s">
        <v>212</v>
      </c>
      <c r="B310" s="93"/>
      <c r="C310" s="79">
        <f t="shared" si="6"/>
        <v>0</v>
      </c>
      <c r="D310" s="80">
        <f t="shared" si="5"/>
        <v>0</v>
      </c>
      <c r="E310" s="80"/>
      <c r="F310" s="81"/>
      <c r="G310" s="81"/>
    </row>
    <row r="311" spans="1:7">
      <c r="A311" s="78" t="s">
        <v>213</v>
      </c>
      <c r="B311" s="93"/>
      <c r="C311" s="79">
        <f t="shared" si="6"/>
        <v>0</v>
      </c>
      <c r="D311" s="80">
        <f t="shared" si="5"/>
        <v>0</v>
      </c>
      <c r="E311" s="80"/>
      <c r="F311" s="81"/>
      <c r="G311" s="81"/>
    </row>
    <row r="312" spans="1:7">
      <c r="A312" s="78" t="s">
        <v>214</v>
      </c>
      <c r="B312" s="93"/>
      <c r="C312" s="79">
        <f t="shared" si="6"/>
        <v>0</v>
      </c>
      <c r="D312" s="80">
        <f t="shared" si="5"/>
        <v>0</v>
      </c>
      <c r="E312" s="80"/>
      <c r="F312" s="81"/>
      <c r="G312" s="81"/>
    </row>
    <row r="313" spans="1:7">
      <c r="A313" s="78" t="s">
        <v>215</v>
      </c>
      <c r="B313" s="93"/>
      <c r="C313" s="79">
        <f t="shared" si="6"/>
        <v>0</v>
      </c>
      <c r="D313" s="80">
        <f t="shared" si="5"/>
        <v>0</v>
      </c>
      <c r="E313" s="80"/>
      <c r="F313" s="81"/>
      <c r="G313" s="81"/>
    </row>
    <row r="314" spans="1:7">
      <c r="A314" s="78" t="s">
        <v>216</v>
      </c>
      <c r="B314" s="93"/>
      <c r="C314" s="79">
        <f t="shared" si="6"/>
        <v>0</v>
      </c>
      <c r="D314" s="80">
        <f t="shared" si="5"/>
        <v>0</v>
      </c>
      <c r="E314" s="80"/>
      <c r="F314" s="81"/>
      <c r="G314" s="81"/>
    </row>
    <row r="315" spans="1:7">
      <c r="A315" s="78" t="s">
        <v>217</v>
      </c>
      <c r="B315" s="93"/>
      <c r="C315" s="79">
        <f t="shared" si="6"/>
        <v>0</v>
      </c>
      <c r="D315" s="80">
        <f t="shared" si="5"/>
        <v>0</v>
      </c>
      <c r="E315" s="80"/>
      <c r="F315" s="81"/>
      <c r="G315" s="81"/>
    </row>
    <row r="316" spans="1:7">
      <c r="A316" s="78" t="s">
        <v>218</v>
      </c>
      <c r="B316" s="93"/>
      <c r="C316" s="79">
        <f t="shared" si="6"/>
        <v>0</v>
      </c>
      <c r="D316" s="80">
        <f t="shared" si="5"/>
        <v>0</v>
      </c>
      <c r="E316" s="80"/>
      <c r="F316" s="81"/>
      <c r="G316" s="81"/>
    </row>
    <row r="317" spans="1:7">
      <c r="A317" s="78" t="s">
        <v>219</v>
      </c>
      <c r="B317" s="93"/>
      <c r="C317" s="79">
        <f t="shared" si="6"/>
        <v>0</v>
      </c>
      <c r="D317" s="80">
        <f t="shared" si="5"/>
        <v>0</v>
      </c>
      <c r="E317" s="80"/>
      <c r="F317" s="81"/>
      <c r="G317" s="81"/>
    </row>
    <row r="318" spans="1:7">
      <c r="A318" s="78" t="s">
        <v>220</v>
      </c>
      <c r="B318" s="93"/>
      <c r="C318" s="79">
        <f t="shared" si="6"/>
        <v>0</v>
      </c>
      <c r="D318" s="80">
        <f t="shared" si="5"/>
        <v>0</v>
      </c>
      <c r="E318" s="80"/>
      <c r="F318" s="81"/>
      <c r="G318" s="81"/>
    </row>
    <row r="319" spans="1:7">
      <c r="A319" s="78" t="s">
        <v>221</v>
      </c>
      <c r="B319" s="93"/>
      <c r="C319" s="79">
        <f t="shared" si="6"/>
        <v>0</v>
      </c>
      <c r="D319" s="80">
        <f t="shared" si="5"/>
        <v>0</v>
      </c>
      <c r="E319" s="80"/>
      <c r="F319" s="81"/>
      <c r="G319" s="81"/>
    </row>
    <row r="320" spans="1:7">
      <c r="A320" s="78" t="s">
        <v>221</v>
      </c>
      <c r="B320" s="78"/>
      <c r="C320" s="79">
        <f t="shared" si="6"/>
        <v>0</v>
      </c>
      <c r="D320" s="117"/>
      <c r="E320" s="83"/>
      <c r="F320" s="84"/>
      <c r="G320" s="84"/>
    </row>
    <row r="321" spans="1:7">
      <c r="A321" s="78"/>
      <c r="B321" s="78"/>
      <c r="D321" s="78"/>
      <c r="E321" s="85"/>
      <c r="F321" s="86"/>
      <c r="G321" s="86"/>
    </row>
    <row r="322" ht="48" spans="1:7">
      <c r="A322" s="87" t="s">
        <v>233</v>
      </c>
      <c r="B322" s="78"/>
      <c r="D322" s="78"/>
      <c r="F322" s="128"/>
      <c r="G322" s="129"/>
    </row>
    <row r="323" ht="48" spans="1:7">
      <c r="A323" s="87" t="s">
        <v>224</v>
      </c>
      <c r="B323" s="78"/>
      <c r="D323" s="83"/>
      <c r="E323" s="127"/>
      <c r="F323" s="84"/>
      <c r="G323" s="84"/>
    </row>
    <row r="324" ht="84" spans="1:7">
      <c r="A324" s="106" t="s">
        <v>225</v>
      </c>
      <c r="B324" s="78"/>
      <c r="D324" s="83"/>
      <c r="E324" s="83"/>
      <c r="F324" s="84"/>
      <c r="G324" s="84"/>
    </row>
    <row r="327" spans="1:2">
      <c r="A327" s="531" t="s">
        <v>226</v>
      </c>
      <c r="B327" s="95" t="e">
        <f>AVERAGE(B275:B314)</f>
        <v>#DIV/0!</v>
      </c>
    </row>
    <row r="328" spans="1:2">
      <c r="A328" s="531" t="s">
        <v>227</v>
      </c>
      <c r="B328" s="96" t="e">
        <f>AVERAGE(B280:B309)</f>
        <v>#DIV/0!</v>
      </c>
    </row>
    <row r="329" spans="1:2">
      <c r="A329" s="531" t="s">
        <v>228</v>
      </c>
      <c r="B329" s="96" t="e">
        <f>AVERAGE(B286:B304)</f>
        <v>#DIV/0!</v>
      </c>
    </row>
    <row r="333" customHeight="1" spans="1:7">
      <c r="A333" s="83" t="s">
        <v>165</v>
      </c>
      <c r="B333" s="117" t="s">
        <v>37</v>
      </c>
      <c r="C333" s="117"/>
      <c r="D333" s="117"/>
      <c r="E333" s="86">
        <f>(1-E388)^(1/3)-1</f>
        <v>0</v>
      </c>
      <c r="F333" s="86">
        <f>(1-F388)^(1/3)-1</f>
        <v>0</v>
      </c>
      <c r="G333" s="86"/>
    </row>
    <row r="334" ht="72" spans="1:7">
      <c r="A334" s="83"/>
      <c r="B334" s="83" t="s">
        <v>167</v>
      </c>
      <c r="D334" s="83" t="s">
        <v>168</v>
      </c>
      <c r="E334" s="83" t="s">
        <v>169</v>
      </c>
      <c r="F334" s="84" t="s">
        <v>169</v>
      </c>
      <c r="G334" s="84"/>
    </row>
    <row r="335" ht="24" spans="1:7">
      <c r="A335" s="83"/>
      <c r="B335" s="78" t="s">
        <v>365</v>
      </c>
      <c r="D335" s="141" t="s">
        <v>171</v>
      </c>
      <c r="E335" s="141" t="s">
        <v>171</v>
      </c>
      <c r="F335" s="141" t="s">
        <v>171</v>
      </c>
      <c r="G335" s="141"/>
    </row>
    <row r="336" ht="15.75" spans="1:7">
      <c r="A336" s="75">
        <v>1</v>
      </c>
      <c r="B336" s="76">
        <v>2</v>
      </c>
      <c r="C336" s="131"/>
      <c r="D336" s="76">
        <v>3</v>
      </c>
      <c r="E336" s="76">
        <v>4</v>
      </c>
      <c r="F336" s="77">
        <v>5</v>
      </c>
      <c r="G336" s="77"/>
    </row>
    <row r="337" spans="1:7">
      <c r="A337" s="530" t="s">
        <v>172</v>
      </c>
      <c r="B337" s="93"/>
      <c r="C337">
        <v>0</v>
      </c>
      <c r="D337" s="80">
        <f t="shared" ref="D337:D386" si="7">IF(B337=0,0,IF(B337&lt;=E$391,0,B337-E$391)/B337)</f>
        <v>0</v>
      </c>
      <c r="E337" s="80"/>
      <c r="F337" s="81"/>
      <c r="G337" s="81"/>
    </row>
    <row r="338" spans="1:7">
      <c r="A338" s="530" t="s">
        <v>173</v>
      </c>
      <c r="B338" s="93"/>
      <c r="C338" s="79">
        <f>B337</f>
        <v>0</v>
      </c>
      <c r="D338" s="80">
        <f t="shared" si="7"/>
        <v>0</v>
      </c>
      <c r="E338" s="80"/>
      <c r="F338" s="81"/>
      <c r="G338" s="81"/>
    </row>
    <row r="339" spans="1:7">
      <c r="A339" s="530" t="s">
        <v>174</v>
      </c>
      <c r="B339" s="93"/>
      <c r="C339" s="79">
        <f t="shared" ref="C339:C387" si="8">B338</f>
        <v>0</v>
      </c>
      <c r="D339" s="80">
        <f t="shared" si="7"/>
        <v>0</v>
      </c>
      <c r="E339" s="80"/>
      <c r="F339" s="81"/>
      <c r="G339" s="81"/>
    </row>
    <row r="340" spans="1:7">
      <c r="A340" s="530" t="s">
        <v>175</v>
      </c>
      <c r="B340" s="93"/>
      <c r="C340" s="79">
        <f t="shared" si="8"/>
        <v>0</v>
      </c>
      <c r="D340" s="80">
        <f t="shared" si="7"/>
        <v>0</v>
      </c>
      <c r="E340" s="80"/>
      <c r="F340" s="81"/>
      <c r="G340" s="81"/>
    </row>
    <row r="341" spans="1:7">
      <c r="A341" s="530" t="s">
        <v>176</v>
      </c>
      <c r="B341" s="93"/>
      <c r="C341" s="79">
        <f t="shared" si="8"/>
        <v>0</v>
      </c>
      <c r="D341" s="80">
        <f t="shared" si="7"/>
        <v>0</v>
      </c>
      <c r="E341" s="80"/>
      <c r="F341" s="81"/>
      <c r="G341" s="81"/>
    </row>
    <row r="342" spans="1:7">
      <c r="A342" s="530" t="s">
        <v>177</v>
      </c>
      <c r="B342" s="93"/>
      <c r="C342" s="79">
        <f t="shared" si="8"/>
        <v>0</v>
      </c>
      <c r="D342" s="80">
        <f t="shared" si="7"/>
        <v>0</v>
      </c>
      <c r="E342" s="80"/>
      <c r="F342" s="81"/>
      <c r="G342" s="81"/>
    </row>
    <row r="343" spans="1:7">
      <c r="A343" s="530" t="s">
        <v>178</v>
      </c>
      <c r="B343" s="93"/>
      <c r="C343" s="79">
        <f t="shared" si="8"/>
        <v>0</v>
      </c>
      <c r="D343" s="80">
        <f t="shared" si="7"/>
        <v>0</v>
      </c>
      <c r="E343" s="80"/>
      <c r="F343" s="81"/>
      <c r="G343" s="81"/>
    </row>
    <row r="344" spans="1:7">
      <c r="A344" s="78" t="s">
        <v>179</v>
      </c>
      <c r="B344" s="93"/>
      <c r="C344" s="79">
        <f t="shared" si="8"/>
        <v>0</v>
      </c>
      <c r="D344" s="80">
        <f t="shared" si="7"/>
        <v>0</v>
      </c>
      <c r="E344" s="80"/>
      <c r="F344" s="81"/>
      <c r="G344" s="81"/>
    </row>
    <row r="345" spans="1:7">
      <c r="A345" s="78" t="s">
        <v>180</v>
      </c>
      <c r="B345" s="93"/>
      <c r="C345" s="79">
        <f t="shared" si="8"/>
        <v>0</v>
      </c>
      <c r="D345" s="80">
        <f t="shared" si="7"/>
        <v>0</v>
      </c>
      <c r="E345" s="80"/>
      <c r="F345" s="81"/>
      <c r="G345" s="81"/>
    </row>
    <row r="346" spans="1:7">
      <c r="A346" s="78" t="s">
        <v>181</v>
      </c>
      <c r="B346" s="93"/>
      <c r="C346" s="79">
        <f t="shared" si="8"/>
        <v>0</v>
      </c>
      <c r="D346" s="80">
        <f t="shared" si="7"/>
        <v>0</v>
      </c>
      <c r="E346" s="80"/>
      <c r="F346" s="81"/>
      <c r="G346" s="81"/>
    </row>
    <row r="347" spans="1:7">
      <c r="A347" s="78" t="s">
        <v>182</v>
      </c>
      <c r="B347" s="93"/>
      <c r="C347" s="79">
        <f t="shared" si="8"/>
        <v>0</v>
      </c>
      <c r="D347" s="80">
        <f t="shared" si="7"/>
        <v>0</v>
      </c>
      <c r="E347" s="80"/>
      <c r="F347" s="81"/>
      <c r="G347" s="81"/>
    </row>
    <row r="348" spans="1:7">
      <c r="A348" s="78" t="s">
        <v>183</v>
      </c>
      <c r="B348" s="93"/>
      <c r="C348" s="79">
        <f t="shared" si="8"/>
        <v>0</v>
      </c>
      <c r="D348" s="80">
        <f t="shared" si="7"/>
        <v>0</v>
      </c>
      <c r="E348" s="80"/>
      <c r="F348" s="81"/>
      <c r="G348" s="81"/>
    </row>
    <row r="349" spans="1:7">
      <c r="A349" s="78" t="s">
        <v>184</v>
      </c>
      <c r="B349" s="93"/>
      <c r="C349" s="79">
        <f t="shared" si="8"/>
        <v>0</v>
      </c>
      <c r="D349" s="80">
        <f t="shared" si="7"/>
        <v>0</v>
      </c>
      <c r="E349" s="80"/>
      <c r="F349" s="81"/>
      <c r="G349" s="81"/>
    </row>
    <row r="350" spans="1:7">
      <c r="A350" s="78" t="s">
        <v>185</v>
      </c>
      <c r="B350" s="93"/>
      <c r="C350" s="79">
        <f t="shared" si="8"/>
        <v>0</v>
      </c>
      <c r="D350" s="80">
        <f t="shared" si="7"/>
        <v>0</v>
      </c>
      <c r="E350" s="80"/>
      <c r="F350" s="81"/>
      <c r="G350" s="81"/>
    </row>
    <row r="351" spans="1:7">
      <c r="A351" s="78" t="s">
        <v>186</v>
      </c>
      <c r="B351" s="93"/>
      <c r="C351" s="79">
        <f t="shared" si="8"/>
        <v>0</v>
      </c>
      <c r="D351" s="80">
        <f t="shared" si="7"/>
        <v>0</v>
      </c>
      <c r="E351" s="80"/>
      <c r="F351" s="81"/>
      <c r="G351" s="81"/>
    </row>
    <row r="352" spans="1:7">
      <c r="A352" s="78" t="s">
        <v>187</v>
      </c>
      <c r="B352" s="93"/>
      <c r="C352" s="79">
        <f t="shared" si="8"/>
        <v>0</v>
      </c>
      <c r="D352" s="80">
        <f t="shared" si="7"/>
        <v>0</v>
      </c>
      <c r="E352" s="80"/>
      <c r="F352" s="81"/>
      <c r="G352" s="81"/>
    </row>
    <row r="353" spans="1:7">
      <c r="A353" s="78" t="s">
        <v>188</v>
      </c>
      <c r="B353" s="93"/>
      <c r="C353" s="79">
        <f t="shared" si="8"/>
        <v>0</v>
      </c>
      <c r="D353" s="80">
        <f t="shared" si="7"/>
        <v>0</v>
      </c>
      <c r="E353" s="80"/>
      <c r="F353" s="81"/>
      <c r="G353" s="81"/>
    </row>
    <row r="354" spans="1:7">
      <c r="A354" s="78" t="s">
        <v>189</v>
      </c>
      <c r="B354" s="93"/>
      <c r="C354" s="79">
        <f t="shared" si="8"/>
        <v>0</v>
      </c>
      <c r="D354" s="80">
        <f t="shared" si="7"/>
        <v>0</v>
      </c>
      <c r="E354" s="80"/>
      <c r="F354" s="81"/>
      <c r="G354" s="81"/>
    </row>
    <row r="355" spans="1:7">
      <c r="A355" s="78" t="s">
        <v>190</v>
      </c>
      <c r="B355" s="93"/>
      <c r="C355" s="79">
        <f t="shared" si="8"/>
        <v>0</v>
      </c>
      <c r="D355" s="80">
        <f t="shared" si="7"/>
        <v>0</v>
      </c>
      <c r="E355" s="80"/>
      <c r="F355" s="81"/>
      <c r="G355" s="81"/>
    </row>
    <row r="356" spans="1:7">
      <c r="A356" s="78" t="s">
        <v>191</v>
      </c>
      <c r="B356" s="93"/>
      <c r="C356" s="79">
        <f t="shared" si="8"/>
        <v>0</v>
      </c>
      <c r="D356" s="80">
        <f t="shared" si="7"/>
        <v>0</v>
      </c>
      <c r="E356" s="80"/>
      <c r="F356" s="81"/>
      <c r="G356" s="81"/>
    </row>
    <row r="357" spans="1:7">
      <c r="A357" s="78" t="s">
        <v>192</v>
      </c>
      <c r="B357" s="93"/>
      <c r="C357" s="79">
        <f t="shared" si="8"/>
        <v>0</v>
      </c>
      <c r="D357" s="80">
        <f t="shared" si="7"/>
        <v>0</v>
      </c>
      <c r="E357" s="80"/>
      <c r="F357" s="81"/>
      <c r="G357" s="81"/>
    </row>
    <row r="358" spans="1:7">
      <c r="A358" s="78" t="s">
        <v>193</v>
      </c>
      <c r="B358" s="93"/>
      <c r="C358" s="79">
        <f t="shared" si="8"/>
        <v>0</v>
      </c>
      <c r="D358" s="80">
        <f t="shared" si="7"/>
        <v>0</v>
      </c>
      <c r="E358" s="80"/>
      <c r="F358" s="81"/>
      <c r="G358" s="81"/>
    </row>
    <row r="359" spans="1:7">
      <c r="A359" s="78" t="s">
        <v>194</v>
      </c>
      <c r="B359" s="93"/>
      <c r="C359" s="79">
        <f t="shared" si="8"/>
        <v>0</v>
      </c>
      <c r="D359" s="80">
        <f t="shared" si="7"/>
        <v>0</v>
      </c>
      <c r="E359" s="80"/>
      <c r="F359" s="81"/>
      <c r="G359" s="81"/>
    </row>
    <row r="360" spans="1:7">
      <c r="A360" s="78" t="s">
        <v>195</v>
      </c>
      <c r="B360" s="93"/>
      <c r="C360" s="79">
        <f t="shared" si="8"/>
        <v>0</v>
      </c>
      <c r="D360" s="80">
        <f t="shared" si="7"/>
        <v>0</v>
      </c>
      <c r="E360" s="80"/>
      <c r="F360" s="81"/>
      <c r="G360" s="81"/>
    </row>
    <row r="361" spans="1:7">
      <c r="A361" s="78" t="s">
        <v>196</v>
      </c>
      <c r="B361" s="93"/>
      <c r="C361" s="79">
        <f t="shared" si="8"/>
        <v>0</v>
      </c>
      <c r="D361" s="80">
        <f t="shared" si="7"/>
        <v>0</v>
      </c>
      <c r="E361" s="80"/>
      <c r="F361" s="81"/>
      <c r="G361" s="81"/>
    </row>
    <row r="362" spans="1:7">
      <c r="A362" s="78" t="s">
        <v>197</v>
      </c>
      <c r="B362" s="93"/>
      <c r="C362" s="79">
        <f t="shared" si="8"/>
        <v>0</v>
      </c>
      <c r="D362" s="80">
        <f t="shared" si="7"/>
        <v>0</v>
      </c>
      <c r="E362" s="80"/>
      <c r="F362" s="81"/>
      <c r="G362" s="81"/>
    </row>
    <row r="363" spans="1:7">
      <c r="A363" s="78" t="s">
        <v>198</v>
      </c>
      <c r="B363" s="93"/>
      <c r="C363" s="79">
        <f t="shared" si="8"/>
        <v>0</v>
      </c>
      <c r="D363" s="80">
        <f t="shared" si="7"/>
        <v>0</v>
      </c>
      <c r="E363" s="80"/>
      <c r="F363" s="81"/>
      <c r="G363" s="81"/>
    </row>
    <row r="364" spans="1:7">
      <c r="A364" s="78" t="s">
        <v>199</v>
      </c>
      <c r="B364" s="93"/>
      <c r="C364" s="79">
        <f t="shared" si="8"/>
        <v>0</v>
      </c>
      <c r="D364" s="80">
        <f t="shared" si="7"/>
        <v>0</v>
      </c>
      <c r="E364" s="80"/>
      <c r="F364" s="81"/>
      <c r="G364" s="81"/>
    </row>
    <row r="365" spans="1:7">
      <c r="A365" s="78" t="s">
        <v>200</v>
      </c>
      <c r="B365" s="93"/>
      <c r="C365" s="79">
        <f t="shared" si="8"/>
        <v>0</v>
      </c>
      <c r="D365" s="80">
        <f t="shared" si="7"/>
        <v>0</v>
      </c>
      <c r="E365" s="80"/>
      <c r="F365" s="81"/>
      <c r="G365" s="81"/>
    </row>
    <row r="366" spans="1:7">
      <c r="A366" s="78" t="s">
        <v>201</v>
      </c>
      <c r="B366" s="93"/>
      <c r="C366" s="79">
        <f t="shared" si="8"/>
        <v>0</v>
      </c>
      <c r="D366" s="80">
        <f t="shared" si="7"/>
        <v>0</v>
      </c>
      <c r="E366" s="80"/>
      <c r="F366" s="81"/>
      <c r="G366" s="81"/>
    </row>
    <row r="367" spans="1:7">
      <c r="A367" s="78" t="s">
        <v>202</v>
      </c>
      <c r="B367" s="93"/>
      <c r="C367" s="79">
        <f t="shared" si="8"/>
        <v>0</v>
      </c>
      <c r="D367" s="80">
        <f t="shared" si="7"/>
        <v>0</v>
      </c>
      <c r="E367" s="80"/>
      <c r="F367" s="81"/>
      <c r="G367" s="81"/>
    </row>
    <row r="368" spans="1:7">
      <c r="A368" s="78" t="s">
        <v>203</v>
      </c>
      <c r="B368" s="93"/>
      <c r="C368" s="79">
        <f t="shared" si="8"/>
        <v>0</v>
      </c>
      <c r="D368" s="80">
        <f t="shared" si="7"/>
        <v>0</v>
      </c>
      <c r="E368" s="80"/>
      <c r="F368" s="81"/>
      <c r="G368" s="81"/>
    </row>
    <row r="369" spans="1:7">
      <c r="A369" s="78" t="s">
        <v>204</v>
      </c>
      <c r="B369" s="93"/>
      <c r="C369" s="79">
        <f t="shared" si="8"/>
        <v>0</v>
      </c>
      <c r="D369" s="80">
        <f t="shared" si="7"/>
        <v>0</v>
      </c>
      <c r="E369" s="80"/>
      <c r="F369" s="81"/>
      <c r="G369" s="81"/>
    </row>
    <row r="370" spans="1:7">
      <c r="A370" s="78" t="s">
        <v>205</v>
      </c>
      <c r="B370" s="93"/>
      <c r="C370" s="79">
        <f t="shared" si="8"/>
        <v>0</v>
      </c>
      <c r="D370" s="80">
        <f t="shared" si="7"/>
        <v>0</v>
      </c>
      <c r="E370" s="80"/>
      <c r="F370" s="81"/>
      <c r="G370" s="81"/>
    </row>
    <row r="371" spans="1:7">
      <c r="A371" s="78" t="s">
        <v>206</v>
      </c>
      <c r="B371" s="93"/>
      <c r="C371" s="79">
        <f t="shared" si="8"/>
        <v>0</v>
      </c>
      <c r="D371" s="80">
        <f t="shared" si="7"/>
        <v>0</v>
      </c>
      <c r="E371" s="80"/>
      <c r="F371" s="81"/>
      <c r="G371" s="81"/>
    </row>
    <row r="372" spans="1:7">
      <c r="A372" s="78" t="s">
        <v>207</v>
      </c>
      <c r="B372" s="93"/>
      <c r="C372" s="79">
        <f t="shared" si="8"/>
        <v>0</v>
      </c>
      <c r="D372" s="80">
        <f t="shared" si="7"/>
        <v>0</v>
      </c>
      <c r="E372" s="80"/>
      <c r="F372" s="81"/>
      <c r="G372" s="81"/>
    </row>
    <row r="373" spans="1:7">
      <c r="A373" s="78" t="s">
        <v>208</v>
      </c>
      <c r="B373" s="93"/>
      <c r="C373" s="79">
        <f t="shared" si="8"/>
        <v>0</v>
      </c>
      <c r="D373" s="80">
        <f t="shared" si="7"/>
        <v>0</v>
      </c>
      <c r="E373" s="80"/>
      <c r="F373" s="81"/>
      <c r="G373" s="81"/>
    </row>
    <row r="374" spans="1:7">
      <c r="A374" s="78" t="s">
        <v>209</v>
      </c>
      <c r="B374" s="93"/>
      <c r="C374" s="79">
        <f t="shared" si="8"/>
        <v>0</v>
      </c>
      <c r="D374" s="80">
        <f t="shared" si="7"/>
        <v>0</v>
      </c>
      <c r="E374" s="80"/>
      <c r="F374" s="81"/>
      <c r="G374" s="81"/>
    </row>
    <row r="375" spans="1:7">
      <c r="A375" s="78" t="s">
        <v>210</v>
      </c>
      <c r="B375" s="93"/>
      <c r="C375" s="79">
        <f t="shared" si="8"/>
        <v>0</v>
      </c>
      <c r="D375" s="80">
        <f t="shared" si="7"/>
        <v>0</v>
      </c>
      <c r="E375" s="80"/>
      <c r="F375" s="81"/>
      <c r="G375" s="81"/>
    </row>
    <row r="376" spans="1:7">
      <c r="A376" s="78" t="s">
        <v>211</v>
      </c>
      <c r="B376" s="93"/>
      <c r="C376" s="79">
        <f t="shared" si="8"/>
        <v>0</v>
      </c>
      <c r="D376" s="80">
        <f t="shared" si="7"/>
        <v>0</v>
      </c>
      <c r="E376" s="80"/>
      <c r="F376" s="81"/>
      <c r="G376" s="81"/>
    </row>
    <row r="377" spans="1:7">
      <c r="A377" s="78" t="s">
        <v>212</v>
      </c>
      <c r="B377" s="93"/>
      <c r="C377" s="79">
        <f t="shared" si="8"/>
        <v>0</v>
      </c>
      <c r="D377" s="80">
        <f t="shared" si="7"/>
        <v>0</v>
      </c>
      <c r="E377" s="80"/>
      <c r="F377" s="81"/>
      <c r="G377" s="81"/>
    </row>
    <row r="378" spans="1:7">
      <c r="A378" s="78" t="s">
        <v>213</v>
      </c>
      <c r="B378" s="93"/>
      <c r="C378" s="79">
        <f t="shared" si="8"/>
        <v>0</v>
      </c>
      <c r="D378" s="80">
        <f t="shared" si="7"/>
        <v>0</v>
      </c>
      <c r="E378" s="80"/>
      <c r="F378" s="81"/>
      <c r="G378" s="81"/>
    </row>
    <row r="379" spans="1:7">
      <c r="A379" s="78" t="s">
        <v>214</v>
      </c>
      <c r="B379" s="93"/>
      <c r="C379" s="79">
        <f t="shared" si="8"/>
        <v>0</v>
      </c>
      <c r="D379" s="80">
        <f t="shared" si="7"/>
        <v>0</v>
      </c>
      <c r="E379" s="80"/>
      <c r="F379" s="81"/>
      <c r="G379" s="81"/>
    </row>
    <row r="380" spans="1:7">
      <c r="A380" s="78" t="s">
        <v>215</v>
      </c>
      <c r="B380" s="93"/>
      <c r="C380" s="79">
        <f t="shared" si="8"/>
        <v>0</v>
      </c>
      <c r="D380" s="80">
        <f t="shared" si="7"/>
        <v>0</v>
      </c>
      <c r="E380" s="80"/>
      <c r="F380" s="81"/>
      <c r="G380" s="81"/>
    </row>
    <row r="381" spans="1:7">
      <c r="A381" s="78" t="s">
        <v>216</v>
      </c>
      <c r="B381" s="93"/>
      <c r="C381" s="79">
        <f t="shared" si="8"/>
        <v>0</v>
      </c>
      <c r="D381" s="80">
        <f t="shared" si="7"/>
        <v>0</v>
      </c>
      <c r="E381" s="80"/>
      <c r="F381" s="81"/>
      <c r="G381" s="81"/>
    </row>
    <row r="382" spans="1:7">
      <c r="A382" s="78" t="s">
        <v>217</v>
      </c>
      <c r="B382" s="93"/>
      <c r="C382" s="79">
        <f t="shared" si="8"/>
        <v>0</v>
      </c>
      <c r="D382" s="80">
        <f t="shared" si="7"/>
        <v>0</v>
      </c>
      <c r="E382" s="80"/>
      <c r="F382" s="81"/>
      <c r="G382" s="81"/>
    </row>
    <row r="383" spans="1:7">
      <c r="A383" s="78" t="s">
        <v>218</v>
      </c>
      <c r="B383" s="93"/>
      <c r="C383" s="79">
        <f t="shared" si="8"/>
        <v>0</v>
      </c>
      <c r="D383" s="80">
        <f t="shared" si="7"/>
        <v>0</v>
      </c>
      <c r="E383" s="80"/>
      <c r="F383" s="81"/>
      <c r="G383" s="81"/>
    </row>
    <row r="384" spans="1:7">
      <c r="A384" s="78" t="s">
        <v>219</v>
      </c>
      <c r="B384" s="93"/>
      <c r="C384" s="79">
        <f t="shared" si="8"/>
        <v>0</v>
      </c>
      <c r="D384" s="80">
        <f t="shared" si="7"/>
        <v>0</v>
      </c>
      <c r="E384" s="80"/>
      <c r="F384" s="81"/>
      <c r="G384" s="81"/>
    </row>
    <row r="385" spans="1:7">
      <c r="A385" s="78" t="s">
        <v>220</v>
      </c>
      <c r="B385" s="93"/>
      <c r="C385" s="79">
        <f t="shared" si="8"/>
        <v>0</v>
      </c>
      <c r="D385" s="80">
        <f t="shared" si="7"/>
        <v>0</v>
      </c>
      <c r="E385" s="80"/>
      <c r="F385" s="81"/>
      <c r="G385" s="81"/>
    </row>
    <row r="386" spans="1:7">
      <c r="A386" s="78" t="s">
        <v>221</v>
      </c>
      <c r="B386" s="284"/>
      <c r="C386" s="79">
        <f t="shared" si="8"/>
        <v>0</v>
      </c>
      <c r="D386" s="80">
        <f t="shared" si="7"/>
        <v>0</v>
      </c>
      <c r="E386" s="80"/>
      <c r="F386" s="81"/>
      <c r="G386" s="81"/>
    </row>
    <row r="387" spans="1:7">
      <c r="A387" s="78" t="s">
        <v>221</v>
      </c>
      <c r="B387" s="78"/>
      <c r="C387" s="79">
        <f t="shared" si="8"/>
        <v>0</v>
      </c>
      <c r="D387" s="117"/>
      <c r="E387" s="83"/>
      <c r="F387" s="84"/>
      <c r="G387" s="84"/>
    </row>
    <row r="388" spans="1:7">
      <c r="A388" s="78"/>
      <c r="B388" s="78"/>
      <c r="D388" s="78"/>
      <c r="E388" s="85"/>
      <c r="F388" s="86"/>
      <c r="G388" s="86"/>
    </row>
    <row r="389" ht="48" spans="1:7">
      <c r="A389" s="87" t="s">
        <v>233</v>
      </c>
      <c r="B389" s="78"/>
      <c r="D389" s="78"/>
      <c r="F389" s="128"/>
      <c r="G389" s="129"/>
    </row>
    <row r="390" ht="48" spans="1:7">
      <c r="A390" s="87" t="s">
        <v>224</v>
      </c>
      <c r="B390" s="78"/>
      <c r="D390" s="83"/>
      <c r="E390" s="127"/>
      <c r="F390" s="84"/>
      <c r="G390" s="84"/>
    </row>
    <row r="391" ht="84" spans="1:7">
      <c r="A391" s="106" t="s">
        <v>225</v>
      </c>
      <c r="B391" s="78"/>
      <c r="D391" s="83"/>
      <c r="E391" s="83">
        <f>0.6*E390</f>
        <v>0</v>
      </c>
      <c r="F391" s="84">
        <f>0.6*F389</f>
        <v>0</v>
      </c>
      <c r="G391" s="84"/>
    </row>
    <row r="394" spans="1:2">
      <c r="A394" s="531" t="s">
        <v>226</v>
      </c>
      <c r="B394" s="95" t="e">
        <f>AVERAGE(B342:B381)</f>
        <v>#DIV/0!</v>
      </c>
    </row>
    <row r="395" spans="1:2">
      <c r="A395" s="531" t="s">
        <v>227</v>
      </c>
      <c r="B395" s="96" t="e">
        <f>AVERAGE(B347:B376)</f>
        <v>#DIV/0!</v>
      </c>
    </row>
    <row r="396" spans="1:2">
      <c r="A396" s="531" t="s">
        <v>228</v>
      </c>
      <c r="B396" s="96" t="e">
        <f>AVERAGE(B353:B371)</f>
        <v>#DIV/0!</v>
      </c>
    </row>
    <row r="401" spans="1:7">
      <c r="A401" s="83" t="s">
        <v>165</v>
      </c>
      <c r="B401" s="316" t="s">
        <v>366</v>
      </c>
      <c r="C401" s="316"/>
      <c r="D401" s="316"/>
      <c r="E401" s="86">
        <f>(1-E456)^(1/3)-1</f>
        <v>0</v>
      </c>
      <c r="F401" s="86">
        <f>(1-F456)^(1/3)-1</f>
        <v>0</v>
      </c>
      <c r="G401" s="86"/>
    </row>
    <row r="402" ht="72" spans="1:7">
      <c r="A402" s="83"/>
      <c r="B402" s="83" t="s">
        <v>167</v>
      </c>
      <c r="C402">
        <v>0</v>
      </c>
      <c r="D402" s="83" t="s">
        <v>169</v>
      </c>
      <c r="E402" s="83" t="s">
        <v>169</v>
      </c>
      <c r="F402" s="84" t="s">
        <v>169</v>
      </c>
      <c r="G402" s="84"/>
    </row>
    <row r="403" ht="60" spans="1:7">
      <c r="A403" s="83"/>
      <c r="B403" s="78" t="s">
        <v>367</v>
      </c>
      <c r="C403" s="79" t="str">
        <f>B402</f>
        <v>Фактическое удельное годовое потребление</v>
      </c>
      <c r="D403" s="141" t="s">
        <v>171</v>
      </c>
      <c r="E403" s="534" t="s">
        <v>227</v>
      </c>
      <c r="F403" s="84"/>
      <c r="G403" s="267"/>
    </row>
    <row r="404" ht="24" spans="1:7">
      <c r="A404" s="75">
        <v>1</v>
      </c>
      <c r="B404" s="75"/>
      <c r="C404" s="79" t="str">
        <f t="shared" ref="C404:C452" si="9">B403</f>
        <v>кгут / кв. м</v>
      </c>
      <c r="D404" s="78" t="s">
        <v>367</v>
      </c>
      <c r="E404" s="76">
        <v>5</v>
      </c>
      <c r="F404" s="77">
        <v>6</v>
      </c>
      <c r="G404" s="77"/>
    </row>
    <row r="405" spans="1:7">
      <c r="A405" s="530" t="s">
        <v>172</v>
      </c>
      <c r="B405" s="78"/>
      <c r="C405" s="79">
        <f t="shared" si="9"/>
        <v>0</v>
      </c>
      <c r="D405" s="75"/>
      <c r="E405" s="80"/>
      <c r="F405" s="81"/>
      <c r="G405" s="81"/>
    </row>
    <row r="406" spans="1:7">
      <c r="A406" s="530" t="s">
        <v>173</v>
      </c>
      <c r="B406" s="78"/>
      <c r="C406" s="79">
        <f t="shared" si="9"/>
        <v>0</v>
      </c>
      <c r="D406" s="78"/>
      <c r="E406" s="80"/>
      <c r="F406" s="81"/>
      <c r="G406" s="81"/>
    </row>
    <row r="407" spans="1:7">
      <c r="A407" s="530" t="s">
        <v>174</v>
      </c>
      <c r="B407" s="78"/>
      <c r="C407" s="79">
        <f t="shared" si="9"/>
        <v>0</v>
      </c>
      <c r="D407" s="78"/>
      <c r="E407" s="80"/>
      <c r="F407" s="81"/>
      <c r="G407" s="81"/>
    </row>
    <row r="408" spans="1:7">
      <c r="A408" s="530" t="s">
        <v>175</v>
      </c>
      <c r="B408" s="78"/>
      <c r="C408" s="79">
        <f t="shared" si="9"/>
        <v>0</v>
      </c>
      <c r="D408" s="78"/>
      <c r="E408" s="80"/>
      <c r="F408" s="81"/>
      <c r="G408" s="81"/>
    </row>
    <row r="409" spans="1:7">
      <c r="A409" s="530" t="s">
        <v>176</v>
      </c>
      <c r="B409" s="78"/>
      <c r="C409" s="79">
        <f t="shared" si="9"/>
        <v>0</v>
      </c>
      <c r="D409" s="78"/>
      <c r="E409" s="80"/>
      <c r="F409" s="81"/>
      <c r="G409" s="81"/>
    </row>
    <row r="410" spans="1:7">
      <c r="A410" s="530" t="s">
        <v>177</v>
      </c>
      <c r="B410" s="78"/>
      <c r="C410" s="79">
        <f t="shared" si="9"/>
        <v>0</v>
      </c>
      <c r="D410" s="78"/>
      <c r="E410" s="80"/>
      <c r="F410" s="81"/>
      <c r="G410" s="81"/>
    </row>
    <row r="411" spans="1:7">
      <c r="A411" s="530" t="s">
        <v>178</v>
      </c>
      <c r="B411" s="78"/>
      <c r="C411" s="79">
        <f t="shared" si="9"/>
        <v>0</v>
      </c>
      <c r="D411" s="78"/>
      <c r="E411" s="80"/>
      <c r="F411" s="81"/>
      <c r="G411" s="81"/>
    </row>
    <row r="412" spans="1:7">
      <c r="A412" s="78" t="s">
        <v>179</v>
      </c>
      <c r="B412" s="78"/>
      <c r="C412" s="79">
        <f t="shared" si="9"/>
        <v>0</v>
      </c>
      <c r="D412" s="78"/>
      <c r="E412" s="80"/>
      <c r="F412" s="81"/>
      <c r="G412" s="81"/>
    </row>
    <row r="413" spans="1:7">
      <c r="A413" s="78" t="s">
        <v>180</v>
      </c>
      <c r="B413" s="78"/>
      <c r="C413" s="79">
        <f t="shared" si="9"/>
        <v>0</v>
      </c>
      <c r="D413" s="78"/>
      <c r="E413" s="80"/>
      <c r="F413" s="81"/>
      <c r="G413" s="81"/>
    </row>
    <row r="414" spans="1:7">
      <c r="A414" s="78" t="s">
        <v>181</v>
      </c>
      <c r="B414" s="78"/>
      <c r="C414" s="79">
        <f t="shared" si="9"/>
        <v>0</v>
      </c>
      <c r="D414" s="78"/>
      <c r="E414" s="80"/>
      <c r="F414" s="81"/>
      <c r="G414" s="81"/>
    </row>
    <row r="415" spans="1:7">
      <c r="A415" s="78" t="s">
        <v>182</v>
      </c>
      <c r="B415" s="78"/>
      <c r="C415" s="79">
        <f t="shared" si="9"/>
        <v>0</v>
      </c>
      <c r="D415" s="78"/>
      <c r="E415" s="80"/>
      <c r="F415" s="81"/>
      <c r="G415" s="81"/>
    </row>
    <row r="416" spans="1:7">
      <c r="A416" s="78" t="s">
        <v>183</v>
      </c>
      <c r="B416" s="78"/>
      <c r="C416" s="79">
        <f t="shared" si="9"/>
        <v>0</v>
      </c>
      <c r="D416" s="78"/>
      <c r="E416" s="80"/>
      <c r="F416" s="81"/>
      <c r="G416" s="81"/>
    </row>
    <row r="417" spans="1:7">
      <c r="A417" s="78" t="s">
        <v>184</v>
      </c>
      <c r="B417" s="78"/>
      <c r="C417" s="79">
        <f t="shared" si="9"/>
        <v>0</v>
      </c>
      <c r="D417" s="78"/>
      <c r="E417" s="80"/>
      <c r="F417" s="81"/>
      <c r="G417" s="81"/>
    </row>
    <row r="418" spans="1:7">
      <c r="A418" s="78" t="s">
        <v>185</v>
      </c>
      <c r="B418" s="78"/>
      <c r="C418" s="79">
        <f t="shared" si="9"/>
        <v>0</v>
      </c>
      <c r="D418" s="78"/>
      <c r="E418" s="80"/>
      <c r="F418" s="81"/>
      <c r="G418" s="81"/>
    </row>
    <row r="419" spans="1:7">
      <c r="A419" s="78" t="s">
        <v>186</v>
      </c>
      <c r="B419" s="78"/>
      <c r="C419" s="79">
        <f t="shared" si="9"/>
        <v>0</v>
      </c>
      <c r="D419" s="78"/>
      <c r="E419" s="80"/>
      <c r="F419" s="81"/>
      <c r="G419" s="81"/>
    </row>
    <row r="420" spans="1:7">
      <c r="A420" s="78" t="s">
        <v>187</v>
      </c>
      <c r="B420" s="78"/>
      <c r="C420" s="79">
        <f t="shared" si="9"/>
        <v>0</v>
      </c>
      <c r="D420" s="78"/>
      <c r="E420" s="80"/>
      <c r="F420" s="81"/>
      <c r="G420" s="81"/>
    </row>
    <row r="421" spans="1:7">
      <c r="A421" s="78" t="s">
        <v>188</v>
      </c>
      <c r="B421" s="78"/>
      <c r="C421" s="79">
        <f t="shared" si="9"/>
        <v>0</v>
      </c>
      <c r="D421" s="78"/>
      <c r="E421" s="80"/>
      <c r="F421" s="81"/>
      <c r="G421" s="81"/>
    </row>
    <row r="422" spans="1:7">
      <c r="A422" s="78" t="s">
        <v>189</v>
      </c>
      <c r="B422" s="78"/>
      <c r="C422" s="79">
        <f t="shared" si="9"/>
        <v>0</v>
      </c>
      <c r="D422" s="78"/>
      <c r="E422" s="80"/>
      <c r="F422" s="81"/>
      <c r="G422" s="81"/>
    </row>
    <row r="423" spans="1:7">
      <c r="A423" s="78" t="s">
        <v>190</v>
      </c>
      <c r="B423" s="78"/>
      <c r="C423" s="79">
        <f t="shared" si="9"/>
        <v>0</v>
      </c>
      <c r="D423" s="78"/>
      <c r="E423" s="80"/>
      <c r="F423" s="81"/>
      <c r="G423" s="81"/>
    </row>
    <row r="424" spans="1:7">
      <c r="A424" s="78" t="s">
        <v>191</v>
      </c>
      <c r="B424" s="78"/>
      <c r="C424" s="79">
        <f t="shared" si="9"/>
        <v>0</v>
      </c>
      <c r="D424" s="78"/>
      <c r="E424" s="80"/>
      <c r="F424" s="81"/>
      <c r="G424" s="81"/>
    </row>
    <row r="425" spans="1:7">
      <c r="A425" s="78" t="s">
        <v>192</v>
      </c>
      <c r="B425" s="78"/>
      <c r="C425" s="79">
        <f t="shared" si="9"/>
        <v>0</v>
      </c>
      <c r="D425" s="78"/>
      <c r="E425" s="80"/>
      <c r="F425" s="81"/>
      <c r="G425" s="81"/>
    </row>
    <row r="426" spans="1:7">
      <c r="A426" s="78" t="s">
        <v>193</v>
      </c>
      <c r="B426" s="78"/>
      <c r="C426" s="79">
        <f t="shared" si="9"/>
        <v>0</v>
      </c>
      <c r="D426" s="78"/>
      <c r="E426" s="80"/>
      <c r="F426" s="81"/>
      <c r="G426" s="81"/>
    </row>
    <row r="427" spans="1:7">
      <c r="A427" s="78" t="s">
        <v>194</v>
      </c>
      <c r="B427" s="78"/>
      <c r="C427" s="79">
        <f t="shared" si="9"/>
        <v>0</v>
      </c>
      <c r="D427" s="78"/>
      <c r="E427" s="80"/>
      <c r="F427" s="81"/>
      <c r="G427" s="81"/>
    </row>
    <row r="428" spans="1:7">
      <c r="A428" s="78" t="s">
        <v>195</v>
      </c>
      <c r="B428" s="78"/>
      <c r="C428" s="79">
        <f t="shared" si="9"/>
        <v>0</v>
      </c>
      <c r="D428" s="78"/>
      <c r="E428" s="80"/>
      <c r="F428" s="81"/>
      <c r="G428" s="81"/>
    </row>
    <row r="429" spans="1:7">
      <c r="A429" s="78" t="s">
        <v>196</v>
      </c>
      <c r="B429" s="78"/>
      <c r="C429" s="79">
        <f t="shared" si="9"/>
        <v>0</v>
      </c>
      <c r="D429" s="78"/>
      <c r="E429" s="80"/>
      <c r="F429" s="81"/>
      <c r="G429" s="81"/>
    </row>
    <row r="430" spans="1:7">
      <c r="A430" s="78" t="s">
        <v>197</v>
      </c>
      <c r="B430" s="78"/>
      <c r="C430" s="79">
        <f t="shared" si="9"/>
        <v>0</v>
      </c>
      <c r="D430" s="78"/>
      <c r="E430" s="80"/>
      <c r="F430" s="81"/>
      <c r="G430" s="81"/>
    </row>
    <row r="431" spans="1:7">
      <c r="A431" s="78" t="s">
        <v>198</v>
      </c>
      <c r="B431" s="78"/>
      <c r="C431" s="79">
        <f t="shared" si="9"/>
        <v>0</v>
      </c>
      <c r="D431" s="78"/>
      <c r="E431" s="80"/>
      <c r="F431" s="81"/>
      <c r="G431" s="81"/>
    </row>
    <row r="432" spans="1:7">
      <c r="A432" s="78" t="s">
        <v>199</v>
      </c>
      <c r="B432" s="78"/>
      <c r="C432" s="79">
        <f t="shared" si="9"/>
        <v>0</v>
      </c>
      <c r="D432" s="78"/>
      <c r="E432" s="80"/>
      <c r="F432" s="81"/>
      <c r="G432" s="81"/>
    </row>
    <row r="433" spans="1:7">
      <c r="A433" s="78" t="s">
        <v>200</v>
      </c>
      <c r="B433" s="78"/>
      <c r="C433" s="79">
        <f t="shared" si="9"/>
        <v>0</v>
      </c>
      <c r="D433" s="78"/>
      <c r="E433" s="80"/>
      <c r="F433" s="81"/>
      <c r="G433" s="81"/>
    </row>
    <row r="434" spans="1:7">
      <c r="A434" s="78" t="s">
        <v>201</v>
      </c>
      <c r="B434" s="78"/>
      <c r="C434" s="79">
        <f t="shared" si="9"/>
        <v>0</v>
      </c>
      <c r="D434" s="78"/>
      <c r="E434" s="80"/>
      <c r="F434" s="81"/>
      <c r="G434" s="81"/>
    </row>
    <row r="435" spans="1:7">
      <c r="A435" s="78" t="s">
        <v>202</v>
      </c>
      <c r="B435" s="78"/>
      <c r="C435" s="79">
        <f t="shared" si="9"/>
        <v>0</v>
      </c>
      <c r="D435" s="78"/>
      <c r="E435" s="80"/>
      <c r="F435" s="81"/>
      <c r="G435" s="81"/>
    </row>
    <row r="436" spans="1:7">
      <c r="A436" s="78" t="s">
        <v>203</v>
      </c>
      <c r="B436" s="78"/>
      <c r="C436" s="79">
        <f t="shared" si="9"/>
        <v>0</v>
      </c>
      <c r="D436" s="78"/>
      <c r="E436" s="80"/>
      <c r="F436" s="81"/>
      <c r="G436" s="81"/>
    </row>
    <row r="437" spans="1:7">
      <c r="A437" s="78" t="s">
        <v>204</v>
      </c>
      <c r="B437" s="78"/>
      <c r="C437" s="79">
        <f t="shared" si="9"/>
        <v>0</v>
      </c>
      <c r="D437" s="78"/>
      <c r="E437" s="80"/>
      <c r="F437" s="81"/>
      <c r="G437" s="81"/>
    </row>
    <row r="438" spans="1:7">
      <c r="A438" s="78" t="s">
        <v>205</v>
      </c>
      <c r="B438" s="78"/>
      <c r="C438" s="79">
        <f t="shared" si="9"/>
        <v>0</v>
      </c>
      <c r="D438" s="78"/>
      <c r="E438" s="80"/>
      <c r="F438" s="81"/>
      <c r="G438" s="81"/>
    </row>
    <row r="439" spans="1:7">
      <c r="A439" s="78" t="s">
        <v>206</v>
      </c>
      <c r="B439" s="78"/>
      <c r="C439" s="79">
        <f t="shared" si="9"/>
        <v>0</v>
      </c>
      <c r="D439" s="78"/>
      <c r="E439" s="80"/>
      <c r="F439" s="81"/>
      <c r="G439" s="81"/>
    </row>
    <row r="440" spans="1:7">
      <c r="A440" s="78" t="s">
        <v>207</v>
      </c>
      <c r="B440" s="78"/>
      <c r="C440" s="79">
        <f t="shared" si="9"/>
        <v>0</v>
      </c>
      <c r="D440" s="78"/>
      <c r="E440" s="80"/>
      <c r="F440" s="81"/>
      <c r="G440" s="81"/>
    </row>
    <row r="441" spans="1:7">
      <c r="A441" s="78" t="s">
        <v>208</v>
      </c>
      <c r="B441" s="78"/>
      <c r="C441" s="79">
        <f t="shared" si="9"/>
        <v>0</v>
      </c>
      <c r="D441" s="78"/>
      <c r="E441" s="80"/>
      <c r="F441" s="81"/>
      <c r="G441" s="81"/>
    </row>
    <row r="442" spans="1:7">
      <c r="A442" s="78" t="s">
        <v>209</v>
      </c>
      <c r="B442" s="78"/>
      <c r="C442" s="79">
        <f t="shared" si="9"/>
        <v>0</v>
      </c>
      <c r="D442" s="78"/>
      <c r="E442" s="80"/>
      <c r="F442" s="81"/>
      <c r="G442" s="81"/>
    </row>
    <row r="443" spans="1:7">
      <c r="A443" s="78" t="s">
        <v>210</v>
      </c>
      <c r="B443" s="78"/>
      <c r="C443" s="79">
        <f t="shared" si="9"/>
        <v>0</v>
      </c>
      <c r="D443" s="78"/>
      <c r="E443" s="80"/>
      <c r="F443" s="81"/>
      <c r="G443" s="81"/>
    </row>
    <row r="444" spans="1:7">
      <c r="A444" s="78" t="s">
        <v>211</v>
      </c>
      <c r="B444" s="78"/>
      <c r="C444" s="79">
        <f t="shared" si="9"/>
        <v>0</v>
      </c>
      <c r="D444" s="78"/>
      <c r="E444" s="80"/>
      <c r="F444" s="81"/>
      <c r="G444" s="81"/>
    </row>
    <row r="445" spans="1:7">
      <c r="A445" s="78" t="s">
        <v>212</v>
      </c>
      <c r="B445" s="78"/>
      <c r="C445" s="79">
        <f t="shared" si="9"/>
        <v>0</v>
      </c>
      <c r="D445" s="78"/>
      <c r="E445" s="80"/>
      <c r="F445" s="81"/>
      <c r="G445" s="81"/>
    </row>
    <row r="446" spans="1:7">
      <c r="A446" s="78" t="s">
        <v>213</v>
      </c>
      <c r="B446" s="78"/>
      <c r="C446" s="79">
        <f t="shared" si="9"/>
        <v>0</v>
      </c>
      <c r="D446" s="78"/>
      <c r="E446" s="80"/>
      <c r="F446" s="81"/>
      <c r="G446" s="81"/>
    </row>
    <row r="447" spans="1:7">
      <c r="A447" s="78" t="s">
        <v>214</v>
      </c>
      <c r="B447" s="78"/>
      <c r="C447" s="79">
        <f t="shared" si="9"/>
        <v>0</v>
      </c>
      <c r="D447" s="78"/>
      <c r="E447" s="80"/>
      <c r="F447" s="81"/>
      <c r="G447" s="81"/>
    </row>
    <row r="448" spans="1:7">
      <c r="A448" s="78" t="s">
        <v>215</v>
      </c>
      <c r="B448" s="78"/>
      <c r="C448" s="79">
        <f t="shared" si="9"/>
        <v>0</v>
      </c>
      <c r="D448" s="78"/>
      <c r="E448" s="80"/>
      <c r="F448" s="81"/>
      <c r="G448" s="81"/>
    </row>
    <row r="449" spans="1:7">
      <c r="A449" s="78" t="s">
        <v>216</v>
      </c>
      <c r="B449" s="78"/>
      <c r="C449" s="79">
        <f t="shared" si="9"/>
        <v>0</v>
      </c>
      <c r="D449" s="78"/>
      <c r="E449" s="80"/>
      <c r="F449" s="81"/>
      <c r="G449" s="81"/>
    </row>
    <row r="450" spans="1:7">
      <c r="A450" s="78" t="s">
        <v>217</v>
      </c>
      <c r="B450" s="78"/>
      <c r="C450" s="79">
        <f t="shared" si="9"/>
        <v>0</v>
      </c>
      <c r="D450" s="78"/>
      <c r="E450" s="80"/>
      <c r="F450" s="81"/>
      <c r="G450" s="81"/>
    </row>
    <row r="451" spans="1:7">
      <c r="A451" s="78" t="s">
        <v>218</v>
      </c>
      <c r="B451" s="78"/>
      <c r="C451" s="79">
        <f t="shared" si="9"/>
        <v>0</v>
      </c>
      <c r="D451" s="78"/>
      <c r="E451" s="80"/>
      <c r="F451" s="81"/>
      <c r="G451" s="81"/>
    </row>
    <row r="452" spans="1:7">
      <c r="A452" s="78" t="s">
        <v>219</v>
      </c>
      <c r="B452" s="78"/>
      <c r="C452" s="79">
        <f t="shared" si="9"/>
        <v>0</v>
      </c>
      <c r="D452" s="78"/>
      <c r="E452" s="80"/>
      <c r="F452" s="81"/>
      <c r="G452" s="81"/>
    </row>
    <row r="453" spans="1:7">
      <c r="A453" s="78" t="s">
        <v>220</v>
      </c>
      <c r="B453" s="78"/>
      <c r="D453" s="78"/>
      <c r="E453" s="80"/>
      <c r="F453" s="81"/>
      <c r="G453" s="81"/>
    </row>
    <row r="454" spans="1:7">
      <c r="A454" s="78" t="s">
        <v>221</v>
      </c>
      <c r="B454" s="78"/>
      <c r="D454" s="78"/>
      <c r="E454" s="80"/>
      <c r="F454" s="81"/>
      <c r="G454" s="81"/>
    </row>
    <row r="455" spans="1:7">
      <c r="A455" s="78" t="s">
        <v>221</v>
      </c>
      <c r="B455" s="78"/>
      <c r="D455" s="117"/>
      <c r="E455" s="83"/>
      <c r="F455" s="84"/>
      <c r="G455" s="84"/>
    </row>
    <row r="456" spans="1:7">
      <c r="A456" s="78"/>
      <c r="B456" s="78"/>
      <c r="D456" s="78"/>
      <c r="E456" s="85"/>
      <c r="F456" s="86"/>
      <c r="G456" s="86"/>
    </row>
    <row r="457" ht="48" spans="1:7">
      <c r="A457" s="87" t="s">
        <v>233</v>
      </c>
      <c r="B457" s="78"/>
      <c r="D457" s="78"/>
      <c r="E457" s="127"/>
      <c r="F457" s="128"/>
      <c r="G457" s="129"/>
    </row>
    <row r="458" ht="48" spans="1:7">
      <c r="A458" s="87" t="s">
        <v>224</v>
      </c>
      <c r="B458" s="78"/>
      <c r="D458" s="83"/>
      <c r="E458" s="83"/>
      <c r="F458" s="84"/>
      <c r="G458" s="84"/>
    </row>
    <row r="459" ht="84" spans="1:7">
      <c r="A459" s="106" t="s">
        <v>225</v>
      </c>
      <c r="B459" s="78"/>
      <c r="D459" s="83"/>
      <c r="E459" s="83"/>
      <c r="F459" s="84"/>
      <c r="G459" s="84"/>
    </row>
    <row r="462" spans="1:2">
      <c r="A462" s="531" t="s">
        <v>226</v>
      </c>
      <c r="B462" s="95" t="e">
        <f>AVERAGE(B410:B449)</f>
        <v>#DIV/0!</v>
      </c>
    </row>
    <row r="463" spans="1:2">
      <c r="A463" s="531" t="s">
        <v>227</v>
      </c>
      <c r="B463" s="96" t="e">
        <f>AVERAGE(B415:B444)</f>
        <v>#DIV/0!</v>
      </c>
    </row>
    <row r="464" spans="1:2">
      <c r="A464" s="531" t="s">
        <v>228</v>
      </c>
      <c r="B464" s="96" t="e">
        <f>AVERAGE(B421:B439)</f>
        <v>#DIV/0!</v>
      </c>
    </row>
  </sheetData>
  <mergeCells count="14">
    <mergeCell ref="B2:D2"/>
    <mergeCell ref="B69:D69"/>
    <mergeCell ref="B134:D134"/>
    <mergeCell ref="B200:D200"/>
    <mergeCell ref="B266:D266"/>
    <mergeCell ref="B333:D333"/>
    <mergeCell ref="B401:D401"/>
    <mergeCell ref="A2:A4"/>
    <mergeCell ref="A69:A71"/>
    <mergeCell ref="A134:A136"/>
    <mergeCell ref="A200:A202"/>
    <mergeCell ref="A266:A268"/>
    <mergeCell ref="A333:A335"/>
    <mergeCell ref="A401:A403"/>
  </mergeCells>
  <pageMargins left="0.7" right="0.7" top="0.75" bottom="0.75" header="0.3" footer="0.3"/>
  <pageSetup paperSize="9" orientation="portrait"/>
  <headerFooter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Лист9">
    <tabColor rgb="FF92D050"/>
  </sheetPr>
  <dimension ref="A1:G464"/>
  <sheetViews>
    <sheetView topLeftCell="A436" workbookViewId="0">
      <selection activeCell="E227" sqref="E227:I228"/>
    </sheetView>
  </sheetViews>
  <sheetFormatPr defaultColWidth="8.72380952380952" defaultRowHeight="15" outlineLevelCol="6"/>
  <cols>
    <col min="5" max="5" width="9.45714285714286" customWidth="1"/>
    <col min="6" max="6" width="8.72380952380952" style="64"/>
    <col min="7" max="7" width="9.45714285714286" style="64" customWidth="1"/>
  </cols>
  <sheetData>
    <row r="1" ht="15.75" spans="4:5">
      <c r="D1" s="65">
        <v>0.1</v>
      </c>
      <c r="E1" s="65">
        <v>0.4</v>
      </c>
    </row>
    <row r="2" ht="23.25" customHeight="1" spans="1:7">
      <c r="A2" s="252" t="s">
        <v>165</v>
      </c>
      <c r="B2" s="67" t="s">
        <v>166</v>
      </c>
      <c r="C2" s="68"/>
      <c r="D2" s="69"/>
      <c r="E2" s="70">
        <f>(1-E57)^(1/3)-1</f>
        <v>-0.0307967524963535</v>
      </c>
      <c r="F2" s="70">
        <f>(1-F57)^(1/3)-1</f>
        <v>-0.0370845801324575</v>
      </c>
      <c r="G2" s="70"/>
    </row>
    <row r="3" ht="72.75" spans="1:7">
      <c r="A3" s="253"/>
      <c r="B3" s="72" t="s">
        <v>167</v>
      </c>
      <c r="C3" s="72"/>
      <c r="D3" s="72" t="s">
        <v>168</v>
      </c>
      <c r="E3" s="72" t="s">
        <v>169</v>
      </c>
      <c r="F3" s="73" t="s">
        <v>169</v>
      </c>
      <c r="G3" s="73"/>
    </row>
    <row r="4" ht="16.5" customHeight="1" spans="1:7">
      <c r="A4" s="254"/>
      <c r="B4" s="72" t="s">
        <v>170</v>
      </c>
      <c r="C4" s="72"/>
      <c r="D4" s="72" t="s">
        <v>171</v>
      </c>
      <c r="E4" s="72" t="s">
        <v>171</v>
      </c>
      <c r="F4" s="73" t="s">
        <v>171</v>
      </c>
      <c r="G4" s="73"/>
    </row>
    <row r="5" spans="1:7">
      <c r="A5" s="75">
        <v>1</v>
      </c>
      <c r="B5" s="143">
        <v>2</v>
      </c>
      <c r="C5" s="76"/>
      <c r="D5" s="76">
        <v>3</v>
      </c>
      <c r="E5" s="76">
        <v>4</v>
      </c>
      <c r="F5" s="77">
        <v>5</v>
      </c>
      <c r="G5" s="77"/>
    </row>
    <row r="6" spans="1:7">
      <c r="A6" s="535" t="s">
        <v>172</v>
      </c>
      <c r="B6" s="304">
        <v>0.77</v>
      </c>
      <c r="C6" s="79">
        <v>0</v>
      </c>
      <c r="D6" s="113">
        <v>0</v>
      </c>
      <c r="E6" s="80">
        <v>0</v>
      </c>
      <c r="F6" s="81">
        <v>0</v>
      </c>
      <c r="G6" s="81">
        <v>0.4</v>
      </c>
    </row>
    <row r="7" spans="1:7">
      <c r="A7" s="535" t="s">
        <v>173</v>
      </c>
      <c r="B7" s="305">
        <v>1.69</v>
      </c>
      <c r="C7" s="79">
        <f>B6</f>
        <v>0.77</v>
      </c>
      <c r="D7" s="113">
        <v>0</v>
      </c>
      <c r="E7" s="80">
        <v>0</v>
      </c>
      <c r="F7" s="81">
        <v>0</v>
      </c>
      <c r="G7" s="81">
        <v>0.4</v>
      </c>
    </row>
    <row r="8" spans="1:7">
      <c r="A8" s="535" t="s">
        <v>174</v>
      </c>
      <c r="B8" s="305">
        <v>2.94</v>
      </c>
      <c r="C8" s="79">
        <f t="shared" ref="C8:C56" si="0">B7</f>
        <v>1.69</v>
      </c>
      <c r="D8" s="113">
        <v>0</v>
      </c>
      <c r="E8" s="80">
        <v>0</v>
      </c>
      <c r="F8" s="81">
        <v>0</v>
      </c>
      <c r="G8" s="81">
        <v>0.4</v>
      </c>
    </row>
    <row r="9" spans="1:7">
      <c r="A9" s="535" t="s">
        <v>175</v>
      </c>
      <c r="B9" s="305">
        <v>3.86</v>
      </c>
      <c r="C9" s="79">
        <f t="shared" si="0"/>
        <v>2.94</v>
      </c>
      <c r="D9" s="113">
        <v>0</v>
      </c>
      <c r="E9" s="80">
        <v>0</v>
      </c>
      <c r="F9" s="81">
        <v>0</v>
      </c>
      <c r="G9" s="81">
        <v>0.4</v>
      </c>
    </row>
    <row r="10" spans="1:7">
      <c r="A10" s="535" t="s">
        <v>176</v>
      </c>
      <c r="B10" s="305">
        <v>4.76</v>
      </c>
      <c r="C10" s="79">
        <f t="shared" si="0"/>
        <v>3.86</v>
      </c>
      <c r="D10" s="113">
        <v>0</v>
      </c>
      <c r="E10" s="80">
        <v>0</v>
      </c>
      <c r="F10" s="81">
        <v>0</v>
      </c>
      <c r="G10" s="81">
        <v>0.4</v>
      </c>
    </row>
    <row r="11" spans="1:7">
      <c r="A11" s="535" t="s">
        <v>177</v>
      </c>
      <c r="B11" s="305">
        <v>5.54</v>
      </c>
      <c r="C11" s="79">
        <f t="shared" si="0"/>
        <v>4.76</v>
      </c>
      <c r="D11" s="113">
        <v>0</v>
      </c>
      <c r="E11" s="80">
        <v>0</v>
      </c>
      <c r="F11" s="81">
        <v>0</v>
      </c>
      <c r="G11" s="81">
        <v>0.4</v>
      </c>
    </row>
    <row r="12" spans="1:7">
      <c r="A12" s="535" t="s">
        <v>178</v>
      </c>
      <c r="B12" s="305">
        <v>6.34</v>
      </c>
      <c r="C12" s="79">
        <f t="shared" si="0"/>
        <v>5.54</v>
      </c>
      <c r="D12" s="113">
        <v>0</v>
      </c>
      <c r="E12" s="80">
        <v>0</v>
      </c>
      <c r="F12" s="81">
        <v>0</v>
      </c>
      <c r="G12" s="81">
        <v>0.4</v>
      </c>
    </row>
    <row r="13" spans="1:7">
      <c r="A13" s="303" t="s">
        <v>179</v>
      </c>
      <c r="B13" s="305">
        <v>7.24</v>
      </c>
      <c r="C13" s="79">
        <f t="shared" si="0"/>
        <v>6.34</v>
      </c>
      <c r="D13" s="113">
        <v>0</v>
      </c>
      <c r="E13" s="80">
        <v>0</v>
      </c>
      <c r="F13" s="81">
        <v>0</v>
      </c>
      <c r="G13" s="81">
        <v>0.4</v>
      </c>
    </row>
    <row r="14" spans="1:7">
      <c r="A14" s="303" t="s">
        <v>180</v>
      </c>
      <c r="B14" s="305">
        <v>7.97</v>
      </c>
      <c r="C14" s="79">
        <f t="shared" si="0"/>
        <v>7.24</v>
      </c>
      <c r="D14" s="113">
        <v>0</v>
      </c>
      <c r="E14" s="80">
        <v>0</v>
      </c>
      <c r="F14" s="81">
        <v>0</v>
      </c>
      <c r="G14" s="81">
        <v>0.4</v>
      </c>
    </row>
    <row r="15" spans="1:7">
      <c r="A15" s="303" t="s">
        <v>181</v>
      </c>
      <c r="B15" s="305">
        <v>8.49</v>
      </c>
      <c r="C15" s="79">
        <f t="shared" si="0"/>
        <v>7.97</v>
      </c>
      <c r="D15" s="113">
        <v>0</v>
      </c>
      <c r="E15" s="80">
        <v>0</v>
      </c>
      <c r="F15" s="81">
        <v>0</v>
      </c>
      <c r="G15" s="81">
        <v>0.4</v>
      </c>
    </row>
    <row r="16" spans="1:7">
      <c r="A16" s="303" t="s">
        <v>182</v>
      </c>
      <c r="B16" s="305">
        <v>9.2</v>
      </c>
      <c r="C16" s="79">
        <f t="shared" si="0"/>
        <v>8.49</v>
      </c>
      <c r="D16" s="113">
        <v>0</v>
      </c>
      <c r="E16" s="80">
        <v>0</v>
      </c>
      <c r="F16" s="81">
        <v>0</v>
      </c>
      <c r="G16" s="81">
        <v>0.4</v>
      </c>
    </row>
    <row r="17" spans="1:7">
      <c r="A17" s="303" t="s">
        <v>183</v>
      </c>
      <c r="B17" s="305">
        <v>9.97</v>
      </c>
      <c r="C17" s="79">
        <f t="shared" si="0"/>
        <v>9.2</v>
      </c>
      <c r="D17" s="113">
        <v>0</v>
      </c>
      <c r="E17" s="80">
        <v>0</v>
      </c>
      <c r="F17" s="81">
        <v>0</v>
      </c>
      <c r="G17" s="81">
        <v>0.4</v>
      </c>
    </row>
    <row r="18" spans="1:7">
      <c r="A18" s="303" t="s">
        <v>184</v>
      </c>
      <c r="B18" s="305">
        <v>10.97</v>
      </c>
      <c r="C18" s="79">
        <f t="shared" si="0"/>
        <v>9.97</v>
      </c>
      <c r="D18" s="113">
        <v>0</v>
      </c>
      <c r="E18" s="80">
        <v>0</v>
      </c>
      <c r="F18" s="81">
        <v>0</v>
      </c>
      <c r="G18" s="81">
        <v>0.4</v>
      </c>
    </row>
    <row r="19" spans="1:7">
      <c r="A19" s="303" t="s">
        <v>185</v>
      </c>
      <c r="B19" s="305">
        <v>11.84</v>
      </c>
      <c r="C19" s="79">
        <f t="shared" si="0"/>
        <v>10.97</v>
      </c>
      <c r="D19" s="113">
        <v>0</v>
      </c>
      <c r="E19" s="80">
        <v>0</v>
      </c>
      <c r="F19" s="81">
        <v>0</v>
      </c>
      <c r="G19" s="81">
        <v>0.4</v>
      </c>
    </row>
    <row r="20" spans="1:7">
      <c r="A20" s="303" t="s">
        <v>186</v>
      </c>
      <c r="B20" s="305">
        <v>12.48</v>
      </c>
      <c r="C20" s="79">
        <f t="shared" si="0"/>
        <v>11.84</v>
      </c>
      <c r="D20" s="113">
        <v>0</v>
      </c>
      <c r="E20" s="80">
        <v>0</v>
      </c>
      <c r="F20" s="81">
        <v>0</v>
      </c>
      <c r="G20" s="81">
        <v>0.4</v>
      </c>
    </row>
    <row r="21" spans="1:7">
      <c r="A21" s="303" t="s">
        <v>187</v>
      </c>
      <c r="B21" s="305">
        <v>13.35</v>
      </c>
      <c r="C21" s="79">
        <f t="shared" si="0"/>
        <v>12.48</v>
      </c>
      <c r="D21" s="113">
        <v>0</v>
      </c>
      <c r="E21" s="80">
        <v>0</v>
      </c>
      <c r="F21" s="81">
        <v>0</v>
      </c>
      <c r="G21" s="81">
        <v>0.4</v>
      </c>
    </row>
    <row r="22" spans="1:7">
      <c r="A22" s="303" t="s">
        <v>188</v>
      </c>
      <c r="B22" s="305">
        <v>14.07</v>
      </c>
      <c r="C22" s="79">
        <f t="shared" si="0"/>
        <v>13.35</v>
      </c>
      <c r="D22" s="113">
        <v>0</v>
      </c>
      <c r="E22" s="80">
        <v>0</v>
      </c>
      <c r="F22" s="81">
        <v>0</v>
      </c>
      <c r="G22" s="81">
        <v>0.4</v>
      </c>
    </row>
    <row r="23" spans="1:7">
      <c r="A23" s="303" t="s">
        <v>189</v>
      </c>
      <c r="B23" s="305">
        <v>15.18</v>
      </c>
      <c r="C23" s="79">
        <f t="shared" si="0"/>
        <v>14.07</v>
      </c>
      <c r="D23" s="113">
        <v>0</v>
      </c>
      <c r="E23" s="80">
        <v>0</v>
      </c>
      <c r="F23" s="81">
        <v>0</v>
      </c>
      <c r="G23" s="81">
        <v>0.4</v>
      </c>
    </row>
    <row r="24" spans="1:7">
      <c r="A24" s="303" t="s">
        <v>190</v>
      </c>
      <c r="B24" s="305">
        <v>16.11</v>
      </c>
      <c r="C24" s="79">
        <f t="shared" si="0"/>
        <v>15.18</v>
      </c>
      <c r="D24" s="113">
        <v>0</v>
      </c>
      <c r="E24" s="80">
        <v>0</v>
      </c>
      <c r="F24" s="81">
        <v>0</v>
      </c>
      <c r="G24" s="81">
        <v>0.4</v>
      </c>
    </row>
    <row r="25" spans="1:7">
      <c r="A25" s="303" t="s">
        <v>191</v>
      </c>
      <c r="B25" s="305">
        <v>16.78</v>
      </c>
      <c r="C25" s="79">
        <f t="shared" si="0"/>
        <v>16.11</v>
      </c>
      <c r="D25" s="113">
        <v>0</v>
      </c>
      <c r="E25" s="80">
        <v>0</v>
      </c>
      <c r="F25" s="81">
        <v>0.00251370679380217</v>
      </c>
      <c r="G25" s="81">
        <v>0.4</v>
      </c>
    </row>
    <row r="26" spans="1:7">
      <c r="A26" s="303" t="s">
        <v>192</v>
      </c>
      <c r="B26" s="305">
        <v>17.49</v>
      </c>
      <c r="C26" s="79">
        <f t="shared" si="0"/>
        <v>16.78</v>
      </c>
      <c r="D26" s="113">
        <v>0</v>
      </c>
      <c r="E26" s="80">
        <v>0</v>
      </c>
      <c r="F26" s="81">
        <v>0.00647112635791882</v>
      </c>
      <c r="G26" s="81">
        <v>0.4</v>
      </c>
    </row>
    <row r="27" spans="1:7">
      <c r="A27" s="303" t="s">
        <v>193</v>
      </c>
      <c r="B27" s="305">
        <v>18.58</v>
      </c>
      <c r="C27" s="79">
        <f t="shared" si="0"/>
        <v>17.49</v>
      </c>
      <c r="D27" s="113">
        <v>0</v>
      </c>
      <c r="E27" s="80">
        <v>0</v>
      </c>
      <c r="F27" s="81">
        <v>0.0119580193756728</v>
      </c>
      <c r="G27" s="81">
        <v>0.4</v>
      </c>
    </row>
    <row r="28" spans="1:7">
      <c r="A28" s="303" t="s">
        <v>194</v>
      </c>
      <c r="B28" s="305">
        <v>19.72</v>
      </c>
      <c r="C28" s="79">
        <f t="shared" si="0"/>
        <v>18.58</v>
      </c>
      <c r="D28" s="113">
        <v>0</v>
      </c>
      <c r="E28" s="80">
        <v>0</v>
      </c>
      <c r="F28" s="81">
        <v>0.0170476673427992</v>
      </c>
      <c r="G28" s="81">
        <v>0.4</v>
      </c>
    </row>
    <row r="29" spans="1:7">
      <c r="A29" s="303" t="s">
        <v>195</v>
      </c>
      <c r="B29" s="305">
        <v>20.25</v>
      </c>
      <c r="C29" s="79">
        <f t="shared" si="0"/>
        <v>19.72</v>
      </c>
      <c r="D29" s="113">
        <v>0</v>
      </c>
      <c r="E29" s="80"/>
      <c r="F29" s="81"/>
      <c r="G29" s="81"/>
    </row>
    <row r="30" spans="1:7">
      <c r="A30" s="303" t="s">
        <v>196</v>
      </c>
      <c r="B30" s="305">
        <v>21.42</v>
      </c>
      <c r="C30" s="79">
        <f t="shared" si="0"/>
        <v>20.25</v>
      </c>
      <c r="D30" s="113">
        <v>0.0490336134453783</v>
      </c>
      <c r="E30" s="80"/>
      <c r="F30" s="81"/>
      <c r="G30" s="81"/>
    </row>
    <row r="31" spans="1:7">
      <c r="A31" s="303" t="s">
        <v>197</v>
      </c>
      <c r="B31" s="305">
        <v>22.7</v>
      </c>
      <c r="C31" s="79">
        <f t="shared" si="0"/>
        <v>21.42</v>
      </c>
      <c r="D31" s="113">
        <v>0.102656387665198</v>
      </c>
      <c r="E31" s="80">
        <v>0.0102656387665198</v>
      </c>
      <c r="F31" s="81">
        <v>0.0279374449339207</v>
      </c>
      <c r="G31" s="81">
        <v>0.4</v>
      </c>
    </row>
    <row r="32" spans="1:7">
      <c r="A32" s="303" t="s">
        <v>198</v>
      </c>
      <c r="B32" s="305">
        <v>24.14</v>
      </c>
      <c r="C32" s="79">
        <f t="shared" si="0"/>
        <v>22.7</v>
      </c>
      <c r="D32" s="113">
        <v>0.156184755592378</v>
      </c>
      <c r="E32" s="80">
        <v>0.0156184755592378</v>
      </c>
      <c r="F32" s="81">
        <v>0.0322361226180613</v>
      </c>
      <c r="G32" s="81">
        <v>0.4</v>
      </c>
    </row>
    <row r="33" spans="1:7">
      <c r="A33" s="303" t="s">
        <v>199</v>
      </c>
      <c r="B33" s="305">
        <v>25.82</v>
      </c>
      <c r="C33" s="79">
        <f t="shared" si="0"/>
        <v>24.14</v>
      </c>
      <c r="D33" s="113">
        <v>0.211088303640589</v>
      </c>
      <c r="E33" s="80">
        <v>0.0211088303640589</v>
      </c>
      <c r="F33" s="81">
        <v>0.0366452362509683</v>
      </c>
      <c r="G33" s="81">
        <v>0.4</v>
      </c>
    </row>
    <row r="34" spans="1:7">
      <c r="A34" s="303" t="s">
        <v>200</v>
      </c>
      <c r="B34" s="305">
        <v>27.72</v>
      </c>
      <c r="C34" s="79">
        <f t="shared" si="0"/>
        <v>25.82</v>
      </c>
      <c r="D34" s="113">
        <v>0.265162337662338</v>
      </c>
      <c r="E34" s="80">
        <v>0.0265162337662338</v>
      </c>
      <c r="F34" s="81">
        <v>0.045926406926407</v>
      </c>
      <c r="G34" s="81">
        <v>0.4</v>
      </c>
    </row>
    <row r="35" spans="1:7">
      <c r="A35" s="303" t="s">
        <v>201</v>
      </c>
      <c r="B35" s="305">
        <v>29.64</v>
      </c>
      <c r="C35" s="79">
        <f t="shared" si="0"/>
        <v>27.72</v>
      </c>
      <c r="D35" s="113">
        <v>0.312763157894737</v>
      </c>
      <c r="E35" s="80">
        <v>0.0312763157894737</v>
      </c>
      <c r="F35" s="81">
        <v>0.0688623481781377</v>
      </c>
      <c r="G35" s="81">
        <v>0.4</v>
      </c>
    </row>
    <row r="36" spans="1:7">
      <c r="A36" s="303" t="s">
        <v>202</v>
      </c>
      <c r="B36" s="305">
        <v>31.64</v>
      </c>
      <c r="C36" s="79">
        <f t="shared" si="0"/>
        <v>29.64</v>
      </c>
      <c r="D36" s="113">
        <v>0.356204171934261</v>
      </c>
      <c r="E36" s="80">
        <v>0.035620417193426</v>
      </c>
      <c r="F36" s="81">
        <v>0.0897939317319849</v>
      </c>
      <c r="G36" s="81">
        <v>0.4</v>
      </c>
    </row>
    <row r="37" spans="1:7">
      <c r="A37" s="303" t="s">
        <v>203</v>
      </c>
      <c r="B37" s="305">
        <v>34.02</v>
      </c>
      <c r="C37" s="79">
        <f t="shared" si="0"/>
        <v>31.64</v>
      </c>
      <c r="D37" s="113">
        <v>0.401243386243386</v>
      </c>
      <c r="E37" s="80">
        <v>0.0407460317460318</v>
      </c>
      <c r="F37" s="81">
        <v>0.111495590828924</v>
      </c>
      <c r="G37" s="81">
        <v>0.4</v>
      </c>
    </row>
    <row r="38" spans="1:7">
      <c r="A38" s="303" t="s">
        <v>204</v>
      </c>
      <c r="B38" s="305">
        <v>36.65</v>
      </c>
      <c r="C38" s="79">
        <f t="shared" si="0"/>
        <v>34.02</v>
      </c>
      <c r="D38" s="113">
        <v>0.444210095497954</v>
      </c>
      <c r="E38" s="80">
        <v>0.0665260572987722</v>
      </c>
      <c r="F38" s="81">
        <v>0.13219863574352</v>
      </c>
      <c r="G38" s="81">
        <v>0.4</v>
      </c>
    </row>
    <row r="39" spans="1:7">
      <c r="A39" s="303" t="s">
        <v>205</v>
      </c>
      <c r="B39" s="305">
        <v>39.27</v>
      </c>
      <c r="C39" s="79">
        <f t="shared" si="0"/>
        <v>36.65</v>
      </c>
      <c r="D39" s="113">
        <v>0.481291061879297</v>
      </c>
      <c r="E39" s="80">
        <v>0.0887746371275783</v>
      </c>
      <c r="F39" s="81">
        <v>0.150065699006876</v>
      </c>
      <c r="G39" s="81">
        <v>0.4</v>
      </c>
    </row>
    <row r="40" spans="1:7">
      <c r="A40" s="303" t="s">
        <v>206</v>
      </c>
      <c r="B40" s="305">
        <v>41.89</v>
      </c>
      <c r="C40" s="79">
        <f t="shared" si="0"/>
        <v>39.27</v>
      </c>
      <c r="D40" s="113">
        <v>0.513733587968489</v>
      </c>
      <c r="E40" s="80">
        <v>0.108240152781093</v>
      </c>
      <c r="F40" s="81">
        <v>0.165697779899737</v>
      </c>
      <c r="G40" s="81">
        <v>0.4</v>
      </c>
    </row>
    <row r="41" spans="1:7">
      <c r="A41" s="303" t="s">
        <v>207</v>
      </c>
      <c r="B41" s="305">
        <v>46.61</v>
      </c>
      <c r="C41" s="79">
        <f t="shared" si="0"/>
        <v>41.89</v>
      </c>
      <c r="D41" s="113">
        <v>0.562975756275477</v>
      </c>
      <c r="E41" s="80">
        <v>0.137785453765286</v>
      </c>
      <c r="F41" s="81">
        <v>0.189424586998498</v>
      </c>
      <c r="G41" s="81">
        <v>0.4</v>
      </c>
    </row>
    <row r="42" spans="1:7">
      <c r="A42" s="303" t="s">
        <v>208</v>
      </c>
      <c r="B42" s="305">
        <v>51.3</v>
      </c>
      <c r="C42" s="79">
        <f t="shared" si="0"/>
        <v>46.61</v>
      </c>
      <c r="D42" s="113">
        <v>0.602929824561404</v>
      </c>
      <c r="E42" s="80">
        <v>0.161757894736842</v>
      </c>
      <c r="F42" s="81">
        <v>0.208676023391813</v>
      </c>
      <c r="G42" s="81">
        <v>0.4</v>
      </c>
    </row>
    <row r="43" spans="1:7">
      <c r="A43" s="303" t="s">
        <v>209</v>
      </c>
      <c r="B43" s="305">
        <v>54.75</v>
      </c>
      <c r="C43" s="79">
        <f t="shared" si="0"/>
        <v>51.3</v>
      </c>
      <c r="D43" s="113">
        <v>0.627950684931507</v>
      </c>
      <c r="E43" s="80">
        <v>0.176770410958904</v>
      </c>
      <c r="F43" s="81">
        <v>0.220732054794521</v>
      </c>
      <c r="G43" s="81">
        <v>0.4</v>
      </c>
    </row>
    <row r="44" spans="1:7">
      <c r="A44" s="303" t="s">
        <v>210</v>
      </c>
      <c r="B44" s="305">
        <v>59.92</v>
      </c>
      <c r="C44" s="79">
        <f t="shared" si="0"/>
        <v>54.75</v>
      </c>
      <c r="D44" s="113">
        <v>0.66005173564753</v>
      </c>
      <c r="E44" s="80">
        <v>0.196031041388518</v>
      </c>
      <c r="F44" s="81">
        <v>0.236199599465955</v>
      </c>
      <c r="G44" s="81">
        <v>0.4</v>
      </c>
    </row>
    <row r="45" spans="1:7">
      <c r="A45" s="303" t="s">
        <v>211</v>
      </c>
      <c r="B45" s="305">
        <v>64.43</v>
      </c>
      <c r="C45" s="79">
        <f t="shared" si="0"/>
        <v>59.92</v>
      </c>
      <c r="D45" s="113">
        <v>0.683847586528015</v>
      </c>
      <c r="E45" s="80">
        <v>0.210308551916809</v>
      </c>
      <c r="F45" s="81">
        <v>0.24766537327332</v>
      </c>
      <c r="G45" s="81">
        <v>0.4</v>
      </c>
    </row>
    <row r="46" spans="1:7">
      <c r="A46" s="303" t="s">
        <v>212</v>
      </c>
      <c r="B46" s="305">
        <v>73.42</v>
      </c>
      <c r="C46" s="79">
        <f t="shared" si="0"/>
        <v>64.43</v>
      </c>
      <c r="D46" s="113">
        <v>0.722559248161264</v>
      </c>
      <c r="E46" s="80">
        <v>0.233535548896758</v>
      </c>
      <c r="F46" s="81">
        <v>0.266318169436121</v>
      </c>
      <c r="G46" s="81">
        <v>0.4</v>
      </c>
    </row>
    <row r="47" spans="1:7">
      <c r="A47" s="303" t="s">
        <v>213</v>
      </c>
      <c r="B47" s="305">
        <v>86.41</v>
      </c>
      <c r="C47" s="79">
        <f t="shared" si="0"/>
        <v>73.42</v>
      </c>
      <c r="D47" s="113">
        <v>0.764266867260734</v>
      </c>
      <c r="E47" s="80">
        <v>0.25856012035644</v>
      </c>
      <c r="F47" s="81">
        <v>0.286414535354704</v>
      </c>
      <c r="G47" s="81">
        <v>0.4</v>
      </c>
    </row>
    <row r="48" spans="1:7">
      <c r="A48" s="303" t="s">
        <v>214</v>
      </c>
      <c r="B48" s="305">
        <v>99.64</v>
      </c>
      <c r="C48" s="79">
        <f t="shared" si="0"/>
        <v>86.41</v>
      </c>
      <c r="D48" s="113">
        <v>0.795567041348856</v>
      </c>
      <c r="E48" s="80">
        <v>0.277340224809314</v>
      </c>
      <c r="F48" s="81">
        <v>0.301496186270574</v>
      </c>
      <c r="G48" s="81">
        <v>0.4</v>
      </c>
    </row>
    <row r="49" spans="1:7">
      <c r="A49" s="303" t="s">
        <v>215</v>
      </c>
      <c r="B49" s="305">
        <v>111.4</v>
      </c>
      <c r="C49" s="79">
        <f t="shared" si="0"/>
        <v>99.64</v>
      </c>
      <c r="D49" s="113">
        <v>0.817148114901257</v>
      </c>
      <c r="E49" s="80">
        <v>0.290288868940754</v>
      </c>
      <c r="F49" s="81">
        <v>0.311894793536804</v>
      </c>
      <c r="G49" s="81">
        <v>0.4</v>
      </c>
    </row>
    <row r="50" spans="1:7">
      <c r="A50" s="303" t="s">
        <v>216</v>
      </c>
      <c r="B50" s="305">
        <v>133.62</v>
      </c>
      <c r="C50" s="79">
        <f t="shared" si="0"/>
        <v>111.4</v>
      </c>
      <c r="D50" s="113">
        <v>0.847555006735519</v>
      </c>
      <c r="E50" s="80">
        <v>0.308533004041311</v>
      </c>
      <c r="F50" s="81">
        <v>0.326546026044005</v>
      </c>
      <c r="G50" s="81">
        <v>0.4</v>
      </c>
    </row>
    <row r="51" spans="1:7">
      <c r="A51" s="303" t="s">
        <v>217</v>
      </c>
      <c r="B51" s="305">
        <v>180.06</v>
      </c>
      <c r="C51" s="79">
        <f t="shared" si="0"/>
        <v>133.62</v>
      </c>
      <c r="D51" s="113">
        <v>0.886872709096968</v>
      </c>
      <c r="E51" s="80">
        <v>0.332123625458181</v>
      </c>
      <c r="F51" s="81">
        <v>0.345490836387871</v>
      </c>
      <c r="G51" s="81">
        <v>0.4</v>
      </c>
    </row>
    <row r="52" spans="1:7">
      <c r="A52" s="303" t="s">
        <v>218</v>
      </c>
      <c r="B52" s="305">
        <v>221.24</v>
      </c>
      <c r="C52" s="79">
        <f t="shared" si="0"/>
        <v>180.06</v>
      </c>
      <c r="D52" s="113">
        <v>0.90792939793889</v>
      </c>
      <c r="E52" s="80">
        <v>0.344757638763334</v>
      </c>
      <c r="F52" s="81">
        <v>0.355636774543482</v>
      </c>
      <c r="G52" s="81">
        <v>0.4</v>
      </c>
    </row>
    <row r="53" spans="1:7">
      <c r="A53" s="303" t="s">
        <v>219</v>
      </c>
      <c r="B53" s="305">
        <v>279.73</v>
      </c>
      <c r="C53" s="79">
        <f t="shared" si="0"/>
        <v>221.24</v>
      </c>
      <c r="D53" s="113">
        <v>0.927180852965359</v>
      </c>
      <c r="E53" s="80">
        <v>0.356308511779216</v>
      </c>
      <c r="F53" s="81">
        <v>0.36491288027741</v>
      </c>
      <c r="G53" s="81">
        <v>0.4</v>
      </c>
    </row>
    <row r="54" spans="1:7">
      <c r="A54" s="303" t="s">
        <v>220</v>
      </c>
      <c r="B54" s="305">
        <v>370.99</v>
      </c>
      <c r="C54" s="79">
        <f t="shared" si="0"/>
        <v>279.73</v>
      </c>
      <c r="D54" s="113">
        <v>0.945093668292946</v>
      </c>
      <c r="E54" s="80">
        <v>0.367056200975768</v>
      </c>
      <c r="F54" s="81">
        <v>0.373543976926602</v>
      </c>
      <c r="G54" s="81">
        <v>0.4</v>
      </c>
    </row>
    <row r="55" spans="1:7">
      <c r="A55" s="78" t="s">
        <v>221</v>
      </c>
      <c r="B55" s="137">
        <v>554.38</v>
      </c>
      <c r="C55" s="79">
        <f t="shared" si="0"/>
        <v>370.99</v>
      </c>
      <c r="D55" s="80">
        <v>0.96325679137054</v>
      </c>
      <c r="E55" s="80">
        <v>0.377954074822324</v>
      </c>
      <c r="F55" s="81">
        <v>0.382295681662398</v>
      </c>
      <c r="G55" s="81">
        <v>0.4</v>
      </c>
    </row>
    <row r="56" spans="1:7">
      <c r="A56" s="78" t="s">
        <v>221</v>
      </c>
      <c r="B56" s="82" t="s">
        <v>371</v>
      </c>
      <c r="C56" s="79">
        <f t="shared" si="0"/>
        <v>554.38</v>
      </c>
      <c r="D56" s="80" t="e">
        <v>#VALUE!</v>
      </c>
      <c r="E56" s="83"/>
      <c r="F56" s="84"/>
      <c r="G56" s="84"/>
    </row>
    <row r="57" spans="1:7">
      <c r="A57" s="78"/>
      <c r="B57" s="82"/>
      <c r="C57" s="82"/>
      <c r="D57" s="83"/>
      <c r="E57" s="85">
        <v>0.0895741464669345</v>
      </c>
      <c r="F57" s="86">
        <v>0.107178943311851</v>
      </c>
      <c r="G57" s="86">
        <v>0.4</v>
      </c>
    </row>
    <row r="58" ht="48.75" spans="1:7">
      <c r="A58" s="87" t="s">
        <v>233</v>
      </c>
      <c r="B58" s="285"/>
      <c r="C58" s="82"/>
      <c r="D58" s="83"/>
      <c r="E58" s="127">
        <v>33.9495</v>
      </c>
      <c r="F58" s="128">
        <v>27.2636666666667</v>
      </c>
      <c r="G58" s="129">
        <v>0</v>
      </c>
    </row>
    <row r="59" ht="48.75" spans="1:7">
      <c r="A59" s="87" t="s">
        <v>224</v>
      </c>
      <c r="B59" s="285">
        <v>52.76</v>
      </c>
      <c r="C59" s="82"/>
      <c r="D59" s="83"/>
      <c r="E59" s="83"/>
      <c r="F59" s="84"/>
      <c r="G59" s="84"/>
    </row>
    <row r="60" ht="84.75" spans="1:7">
      <c r="A60" s="106" t="s">
        <v>225</v>
      </c>
      <c r="B60" s="116">
        <v>31.656</v>
      </c>
      <c r="C60" s="78"/>
      <c r="D60" s="83"/>
      <c r="E60" s="83">
        <v>20.3697</v>
      </c>
      <c r="F60" s="84">
        <v>16.3582</v>
      </c>
      <c r="G60" s="84">
        <v>0</v>
      </c>
    </row>
    <row r="62" ht="48.75" spans="1:2">
      <c r="A62" s="256" t="s">
        <v>224</v>
      </c>
      <c r="B62">
        <f>B59</f>
        <v>52.76</v>
      </c>
    </row>
    <row r="63" spans="1:3">
      <c r="A63" s="531" t="s">
        <v>226</v>
      </c>
      <c r="B63" s="95">
        <f>AVERAGE(B11:B50)</f>
        <v>33.9495</v>
      </c>
      <c r="C63" s="95"/>
    </row>
    <row r="64" spans="1:3">
      <c r="A64" s="531" t="s">
        <v>227</v>
      </c>
      <c r="B64" s="96">
        <f>AVERAGE(B16:B45)</f>
        <v>27.2636666666667</v>
      </c>
      <c r="C64" s="96"/>
    </row>
    <row r="65" spans="1:3">
      <c r="A65" s="531" t="s">
        <v>228</v>
      </c>
      <c r="B65" s="96">
        <f>AVERAGE(B22:B40)</f>
        <v>24.8994736842105</v>
      </c>
      <c r="C65" s="96"/>
    </row>
    <row r="69" customHeight="1" spans="1:7">
      <c r="A69" s="83" t="s">
        <v>165</v>
      </c>
      <c r="B69" s="83" t="s">
        <v>229</v>
      </c>
      <c r="C69" s="83"/>
      <c r="D69" s="83"/>
      <c r="E69" s="98">
        <f>(1-E124)^(1/3)-1</f>
        <v>-0.0263413428409963</v>
      </c>
      <c r="F69" s="98">
        <f>(1-F124)^(1/3)-1</f>
        <v>-0.0289363900600098</v>
      </c>
      <c r="G69" s="98"/>
    </row>
    <row r="70" ht="72" spans="1:7">
      <c r="A70" s="83"/>
      <c r="B70" s="83" t="s">
        <v>167</v>
      </c>
      <c r="C70" s="83"/>
      <c r="D70" s="83" t="s">
        <v>168</v>
      </c>
      <c r="E70" s="83" t="s">
        <v>169</v>
      </c>
      <c r="F70" s="84" t="s">
        <v>169</v>
      </c>
      <c r="G70" s="84"/>
    </row>
    <row r="71" ht="24" spans="1:7">
      <c r="A71" s="83"/>
      <c r="B71" s="83" t="s">
        <v>230</v>
      </c>
      <c r="C71" s="83"/>
      <c r="D71" s="83" t="s">
        <v>171</v>
      </c>
      <c r="E71" s="83" t="s">
        <v>171</v>
      </c>
      <c r="F71" s="84" t="s">
        <v>171</v>
      </c>
      <c r="G71" s="84"/>
    </row>
    <row r="72" spans="1:7">
      <c r="A72" s="75">
        <v>1</v>
      </c>
      <c r="B72" s="76">
        <v>2</v>
      </c>
      <c r="C72" s="76"/>
      <c r="D72" s="76">
        <v>3</v>
      </c>
      <c r="E72" s="76">
        <v>4</v>
      </c>
      <c r="F72" s="77">
        <v>5</v>
      </c>
      <c r="G72" s="77"/>
    </row>
    <row r="73" spans="1:7">
      <c r="A73" s="530" t="s">
        <v>172</v>
      </c>
      <c r="B73" s="299">
        <v>23.59</v>
      </c>
      <c r="C73" s="102">
        <v>0</v>
      </c>
      <c r="D73" s="80">
        <v>0</v>
      </c>
      <c r="E73" s="80">
        <v>0</v>
      </c>
      <c r="F73" s="81">
        <v>0</v>
      </c>
      <c r="G73" s="81">
        <v>0.4</v>
      </c>
    </row>
    <row r="74" spans="1:7">
      <c r="A74" s="530" t="s">
        <v>173</v>
      </c>
      <c r="B74" s="299">
        <v>25.3</v>
      </c>
      <c r="C74" s="79">
        <f>B73</f>
        <v>23.59</v>
      </c>
      <c r="D74" s="80">
        <v>0</v>
      </c>
      <c r="E74" s="80">
        <v>0</v>
      </c>
      <c r="F74" s="81">
        <v>0</v>
      </c>
      <c r="G74" s="81">
        <v>0.4</v>
      </c>
    </row>
    <row r="75" spans="1:7">
      <c r="A75" s="530" t="s">
        <v>174</v>
      </c>
      <c r="B75" s="299">
        <v>26.91</v>
      </c>
      <c r="C75" s="79">
        <f t="shared" ref="C75:C123" si="1">B74</f>
        <v>25.3</v>
      </c>
      <c r="D75" s="80">
        <v>0</v>
      </c>
      <c r="E75" s="80">
        <v>0</v>
      </c>
      <c r="F75" s="81">
        <v>0</v>
      </c>
      <c r="G75" s="81">
        <v>0.4</v>
      </c>
    </row>
    <row r="76" spans="1:7">
      <c r="A76" s="530" t="s">
        <v>175</v>
      </c>
      <c r="B76" s="299">
        <v>27.7</v>
      </c>
      <c r="C76" s="79">
        <f t="shared" si="1"/>
        <v>26.91</v>
      </c>
      <c r="D76" s="80">
        <v>0</v>
      </c>
      <c r="E76" s="80">
        <v>0</v>
      </c>
      <c r="F76" s="81">
        <v>0</v>
      </c>
      <c r="G76" s="81">
        <v>0.4</v>
      </c>
    </row>
    <row r="77" spans="1:7">
      <c r="A77" s="530" t="s">
        <v>176</v>
      </c>
      <c r="B77" s="299">
        <v>28.72</v>
      </c>
      <c r="C77" s="79">
        <f t="shared" si="1"/>
        <v>27.7</v>
      </c>
      <c r="D77" s="80">
        <v>0</v>
      </c>
      <c r="E77" s="80">
        <v>0</v>
      </c>
      <c r="F77" s="81">
        <v>0</v>
      </c>
      <c r="G77" s="81">
        <v>0.4</v>
      </c>
    </row>
    <row r="78" spans="1:7">
      <c r="A78" s="530" t="s">
        <v>177</v>
      </c>
      <c r="B78" s="299">
        <v>29.71</v>
      </c>
      <c r="C78" s="79">
        <f t="shared" si="1"/>
        <v>28.72</v>
      </c>
      <c r="D78" s="80">
        <v>0</v>
      </c>
      <c r="E78" s="80">
        <v>0</v>
      </c>
      <c r="F78" s="81">
        <v>0</v>
      </c>
      <c r="G78" s="81">
        <v>0.4</v>
      </c>
    </row>
    <row r="79" spans="1:7">
      <c r="A79" s="530" t="s">
        <v>178</v>
      </c>
      <c r="B79" s="299">
        <v>30.69</v>
      </c>
      <c r="C79" s="79">
        <f t="shared" si="1"/>
        <v>29.71</v>
      </c>
      <c r="D79" s="80">
        <v>0</v>
      </c>
      <c r="E79" s="80">
        <v>0</v>
      </c>
      <c r="F79" s="81">
        <v>0</v>
      </c>
      <c r="G79" s="81">
        <v>0.4</v>
      </c>
    </row>
    <row r="80" spans="1:7">
      <c r="A80" s="78" t="s">
        <v>179</v>
      </c>
      <c r="B80" s="299">
        <v>31.69</v>
      </c>
      <c r="C80" s="79">
        <f t="shared" si="1"/>
        <v>30.69</v>
      </c>
      <c r="D80" s="80">
        <v>0</v>
      </c>
      <c r="E80" s="80">
        <v>0</v>
      </c>
      <c r="F80" s="81">
        <v>0.00252698011991165</v>
      </c>
      <c r="G80" s="81">
        <v>0.4</v>
      </c>
    </row>
    <row r="81" spans="1:7">
      <c r="A81" s="78" t="s">
        <v>180</v>
      </c>
      <c r="B81" s="299">
        <v>32.38</v>
      </c>
      <c r="C81" s="79">
        <f t="shared" si="1"/>
        <v>31.69</v>
      </c>
      <c r="D81" s="80">
        <v>0</v>
      </c>
      <c r="E81" s="80"/>
      <c r="F81" s="81"/>
      <c r="G81" s="81"/>
    </row>
    <row r="82" spans="1:7">
      <c r="A82" s="78" t="s">
        <v>181</v>
      </c>
      <c r="B82" s="299">
        <v>33.04</v>
      </c>
      <c r="C82" s="79">
        <f t="shared" si="1"/>
        <v>32.38</v>
      </c>
      <c r="D82" s="80">
        <v>0.0135729418886199</v>
      </c>
      <c r="E82" s="80"/>
      <c r="F82" s="81"/>
      <c r="G82" s="81"/>
    </row>
    <row r="83" spans="1:7">
      <c r="A83" s="78" t="s">
        <v>182</v>
      </c>
      <c r="B83" s="299">
        <v>33.52</v>
      </c>
      <c r="C83" s="79">
        <f t="shared" si="1"/>
        <v>33.04</v>
      </c>
      <c r="D83" s="80">
        <v>0.0276983890214799</v>
      </c>
      <c r="E83" s="80"/>
      <c r="F83" s="81"/>
      <c r="G83" s="81"/>
    </row>
    <row r="84" spans="1:7">
      <c r="A84" s="78" t="s">
        <v>183</v>
      </c>
      <c r="B84" s="299">
        <v>34.74</v>
      </c>
      <c r="C84" s="79">
        <f t="shared" si="1"/>
        <v>33.52</v>
      </c>
      <c r="D84" s="80">
        <v>0.061843696027634</v>
      </c>
      <c r="E84" s="80"/>
      <c r="F84" s="81"/>
      <c r="G84" s="81"/>
    </row>
    <row r="85" spans="1:7">
      <c r="A85" s="78" t="s">
        <v>184</v>
      </c>
      <c r="B85" s="299">
        <v>36.19</v>
      </c>
      <c r="C85" s="79">
        <f t="shared" si="1"/>
        <v>34.74</v>
      </c>
      <c r="D85" s="80">
        <v>0.0994321635810998</v>
      </c>
      <c r="E85" s="80">
        <v>0.00994321635810998</v>
      </c>
      <c r="F85" s="81">
        <v>0.0146471400939486</v>
      </c>
      <c r="G85" s="81">
        <v>0.4</v>
      </c>
    </row>
    <row r="86" spans="1:7">
      <c r="A86" s="78" t="s">
        <v>185</v>
      </c>
      <c r="B86" s="299">
        <v>37.07</v>
      </c>
      <c r="C86" s="79">
        <f t="shared" si="1"/>
        <v>36.19</v>
      </c>
      <c r="D86" s="80">
        <v>0.120810628540599</v>
      </c>
      <c r="E86" s="80">
        <v>0.0120810628540599</v>
      </c>
      <c r="F86" s="81">
        <v>0.0166733207445374</v>
      </c>
      <c r="G86" s="81">
        <v>0.4</v>
      </c>
    </row>
    <row r="87" spans="1:7">
      <c r="A87" s="78" t="s">
        <v>186</v>
      </c>
      <c r="B87" s="299">
        <v>38.2</v>
      </c>
      <c r="C87" s="79">
        <f t="shared" si="1"/>
        <v>37.07</v>
      </c>
      <c r="D87" s="80">
        <v>0.146818062827225</v>
      </c>
      <c r="E87" s="80">
        <v>0.0146818062827225</v>
      </c>
      <c r="F87" s="81">
        <v>0.019138219895288</v>
      </c>
      <c r="G87" s="81">
        <v>0.4</v>
      </c>
    </row>
    <row r="88" spans="1:7">
      <c r="A88" s="78" t="s">
        <v>187</v>
      </c>
      <c r="B88" s="306">
        <v>38.57</v>
      </c>
      <c r="C88" s="79">
        <f t="shared" si="1"/>
        <v>38.2</v>
      </c>
      <c r="D88" s="80">
        <v>0.155002592688618</v>
      </c>
      <c r="E88" s="80">
        <v>0.0155002592688618</v>
      </c>
      <c r="F88" s="81">
        <v>0.0199139227378792</v>
      </c>
      <c r="G88" s="81">
        <v>0.4</v>
      </c>
    </row>
    <row r="89" spans="1:7">
      <c r="A89" s="78" t="s">
        <v>188</v>
      </c>
      <c r="B89" s="299">
        <v>39.64</v>
      </c>
      <c r="C89" s="79">
        <f t="shared" si="1"/>
        <v>38.57</v>
      </c>
      <c r="D89" s="80">
        <v>0.177811553985873</v>
      </c>
      <c r="E89" s="80">
        <v>0.0177811553985873</v>
      </c>
      <c r="F89" s="81">
        <v>0.0220756811301715</v>
      </c>
      <c r="G89" s="81">
        <v>0.4</v>
      </c>
    </row>
    <row r="90" spans="1:7">
      <c r="A90" s="78" t="s">
        <v>189</v>
      </c>
      <c r="B90" s="299">
        <v>40.66</v>
      </c>
      <c r="C90" s="79">
        <f t="shared" si="1"/>
        <v>39.64</v>
      </c>
      <c r="D90" s="80">
        <v>0.198437038858829</v>
      </c>
      <c r="E90" s="80">
        <v>0.0198437038858829</v>
      </c>
      <c r="F90" s="81">
        <v>0.0240304968027545</v>
      </c>
      <c r="G90" s="81">
        <v>0.4</v>
      </c>
    </row>
    <row r="91" spans="1:7">
      <c r="A91" s="78" t="s">
        <v>190</v>
      </c>
      <c r="B91" s="299">
        <v>41.62</v>
      </c>
      <c r="C91" s="79">
        <f t="shared" si="1"/>
        <v>40.66</v>
      </c>
      <c r="D91" s="80">
        <v>0.216925756847669</v>
      </c>
      <c r="E91" s="80">
        <v>0.0216925756847669</v>
      </c>
      <c r="F91" s="81">
        <v>0.0257827967323402</v>
      </c>
      <c r="G91" s="81">
        <v>0.4</v>
      </c>
    </row>
    <row r="92" spans="1:7">
      <c r="A92" s="78" t="s">
        <v>191</v>
      </c>
      <c r="B92" s="299">
        <v>42.21</v>
      </c>
      <c r="C92" s="79">
        <f t="shared" si="1"/>
        <v>41.62</v>
      </c>
      <c r="D92" s="80">
        <v>0.227871357498223</v>
      </c>
      <c r="E92" s="80">
        <v>0.0227871357498223</v>
      </c>
      <c r="F92" s="81">
        <v>0.026820184790334</v>
      </c>
      <c r="G92" s="81">
        <v>0.4</v>
      </c>
    </row>
    <row r="93" spans="1:7">
      <c r="A93" s="78" t="s">
        <v>192</v>
      </c>
      <c r="B93" s="299">
        <v>43.3</v>
      </c>
      <c r="C93" s="79">
        <f t="shared" si="1"/>
        <v>42.21</v>
      </c>
      <c r="D93" s="80">
        <v>0.24730831408776</v>
      </c>
      <c r="E93" s="80">
        <v>0.024730831408776</v>
      </c>
      <c r="F93" s="81">
        <v>0.0286623556581986</v>
      </c>
      <c r="G93" s="81">
        <v>0.4</v>
      </c>
    </row>
    <row r="94" spans="1:7">
      <c r="A94" s="78" t="s">
        <v>193</v>
      </c>
      <c r="B94" s="299">
        <v>45.3</v>
      </c>
      <c r="C94" s="79">
        <f t="shared" si="1"/>
        <v>43.3</v>
      </c>
      <c r="D94" s="80">
        <v>0.280539735099338</v>
      </c>
      <c r="E94" s="80">
        <v>0.0280539735099338</v>
      </c>
      <c r="F94" s="81">
        <v>0.0318119205298013</v>
      </c>
      <c r="G94" s="81">
        <v>0.4</v>
      </c>
    </row>
    <row r="95" spans="1:7">
      <c r="A95" s="78" t="s">
        <v>194</v>
      </c>
      <c r="B95" s="299">
        <v>46.26</v>
      </c>
      <c r="C95" s="79">
        <f t="shared" si="1"/>
        <v>45.3</v>
      </c>
      <c r="D95" s="80">
        <v>0.295470168612192</v>
      </c>
      <c r="E95" s="80">
        <v>0.0295470168612192</v>
      </c>
      <c r="F95" s="81">
        <v>0.0332269779507134</v>
      </c>
      <c r="G95" s="81">
        <v>0.4</v>
      </c>
    </row>
    <row r="96" spans="1:7">
      <c r="A96" s="78" t="s">
        <v>195</v>
      </c>
      <c r="B96" s="299">
        <v>47.35</v>
      </c>
      <c r="C96" s="79">
        <f t="shared" si="1"/>
        <v>46.26</v>
      </c>
      <c r="D96" s="80">
        <v>0.311688489968321</v>
      </c>
      <c r="E96" s="80">
        <v>0.0311688489968321</v>
      </c>
      <c r="F96" s="81">
        <v>0.0347640971488912</v>
      </c>
      <c r="G96" s="81">
        <v>0.4</v>
      </c>
    </row>
    <row r="97" spans="1:7">
      <c r="A97" s="78" t="s">
        <v>196</v>
      </c>
      <c r="B97" s="299">
        <v>48.81</v>
      </c>
      <c r="C97" s="79">
        <f t="shared" si="1"/>
        <v>47.35</v>
      </c>
      <c r="D97" s="80">
        <v>0.332277197295636</v>
      </c>
      <c r="E97" s="80">
        <v>0.0332277197295636</v>
      </c>
      <c r="F97" s="81">
        <v>0.0367154271665642</v>
      </c>
      <c r="G97" s="81">
        <v>0.4</v>
      </c>
    </row>
    <row r="98" spans="1:7">
      <c r="A98" s="78" t="s">
        <v>197</v>
      </c>
      <c r="B98" s="299">
        <v>49.8</v>
      </c>
      <c r="C98" s="79">
        <f t="shared" si="1"/>
        <v>48.81</v>
      </c>
      <c r="D98" s="80">
        <v>0.345551204819277</v>
      </c>
      <c r="E98" s="80">
        <v>0.0345551204819277</v>
      </c>
      <c r="F98" s="81">
        <v>0.0379734939759036</v>
      </c>
      <c r="G98" s="81">
        <v>0.4</v>
      </c>
    </row>
    <row r="99" spans="1:7">
      <c r="A99" s="78" t="s">
        <v>198</v>
      </c>
      <c r="B99" s="299">
        <v>51.28</v>
      </c>
      <c r="C99" s="79">
        <f t="shared" si="1"/>
        <v>49.8</v>
      </c>
      <c r="D99" s="80">
        <v>0.364439352574103</v>
      </c>
      <c r="E99" s="80">
        <v>0.0364439352574103</v>
      </c>
      <c r="F99" s="81">
        <v>0.0397636505460218</v>
      </c>
      <c r="G99" s="81">
        <v>0.4</v>
      </c>
    </row>
    <row r="100" spans="1:7">
      <c r="A100" s="78" t="s">
        <v>199</v>
      </c>
      <c r="B100" s="299">
        <v>52.46</v>
      </c>
      <c r="C100" s="79">
        <f t="shared" si="1"/>
        <v>51.28</v>
      </c>
      <c r="D100" s="80">
        <v>0.378735226839497</v>
      </c>
      <c r="E100" s="80">
        <v>0.0378735226839497</v>
      </c>
      <c r="F100" s="81">
        <v>0.0467113991612657</v>
      </c>
      <c r="G100" s="81">
        <v>0.4</v>
      </c>
    </row>
    <row r="101" spans="1:7">
      <c r="A101" s="78" t="s">
        <v>200</v>
      </c>
      <c r="B101" s="299">
        <v>53.83</v>
      </c>
      <c r="C101" s="79">
        <f t="shared" si="1"/>
        <v>52.46</v>
      </c>
      <c r="D101" s="80">
        <v>0.394546721159205</v>
      </c>
      <c r="E101" s="80">
        <v>0.0394546721159205</v>
      </c>
      <c r="F101" s="81">
        <v>0.0557027679732491</v>
      </c>
      <c r="G101" s="81">
        <v>0.4</v>
      </c>
    </row>
    <row r="102" spans="1:7">
      <c r="A102" s="78" t="s">
        <v>201</v>
      </c>
      <c r="B102" s="299">
        <v>54.9</v>
      </c>
      <c r="C102" s="79">
        <f t="shared" si="1"/>
        <v>53.83</v>
      </c>
      <c r="D102" s="80">
        <v>0.406346994535519</v>
      </c>
      <c r="E102" s="80">
        <v>0.0438081967213115</v>
      </c>
      <c r="F102" s="81">
        <v>0.0624131147540984</v>
      </c>
      <c r="G102" s="81">
        <v>0.4</v>
      </c>
    </row>
    <row r="103" spans="1:7">
      <c r="A103" s="78" t="s">
        <v>202</v>
      </c>
      <c r="B103" s="299">
        <v>56.7</v>
      </c>
      <c r="C103" s="79">
        <f t="shared" si="1"/>
        <v>54.9</v>
      </c>
      <c r="D103" s="80">
        <v>0.425193121693122</v>
      </c>
      <c r="E103" s="80">
        <v>0.0551158730158731</v>
      </c>
      <c r="F103" s="81">
        <v>0.0731301587301588</v>
      </c>
      <c r="G103" s="81">
        <v>0.4</v>
      </c>
    </row>
    <row r="104" spans="1:7">
      <c r="A104" s="78" t="s">
        <v>203</v>
      </c>
      <c r="B104" s="299">
        <v>58.13</v>
      </c>
      <c r="C104" s="79">
        <f t="shared" si="1"/>
        <v>56.7</v>
      </c>
      <c r="D104" s="80">
        <v>0.439333390676071</v>
      </c>
      <c r="E104" s="80">
        <v>0.0636000344056426</v>
      </c>
      <c r="F104" s="81">
        <v>0.0811711680715638</v>
      </c>
      <c r="G104" s="81">
        <v>0.4</v>
      </c>
    </row>
    <row r="105" spans="1:7">
      <c r="A105" s="78" t="s">
        <v>204</v>
      </c>
      <c r="B105" s="299">
        <v>59.46</v>
      </c>
      <c r="C105" s="79">
        <f t="shared" si="1"/>
        <v>58.13</v>
      </c>
      <c r="D105" s="80">
        <v>0.451874369323915</v>
      </c>
      <c r="E105" s="80">
        <v>0.0711246215943492</v>
      </c>
      <c r="F105" s="81">
        <v>0.0883027245206862</v>
      </c>
      <c r="G105" s="81">
        <v>0.4</v>
      </c>
    </row>
    <row r="106" spans="1:7">
      <c r="A106" s="78" t="s">
        <v>205</v>
      </c>
      <c r="B106" s="299">
        <v>61.61</v>
      </c>
      <c r="C106" s="79">
        <f t="shared" si="1"/>
        <v>59.46</v>
      </c>
      <c r="D106" s="80">
        <v>0.471002272358383</v>
      </c>
      <c r="E106" s="80">
        <v>0.08260136341503</v>
      </c>
      <c r="F106" s="81">
        <v>0.0991800032462263</v>
      </c>
      <c r="G106" s="81">
        <v>0.4</v>
      </c>
    </row>
    <row r="107" spans="1:7">
      <c r="A107" s="78" t="s">
        <v>206</v>
      </c>
      <c r="B107" s="299">
        <v>64.6</v>
      </c>
      <c r="C107" s="79">
        <f t="shared" si="1"/>
        <v>61.61</v>
      </c>
      <c r="D107" s="80">
        <v>0.495486842105263</v>
      </c>
      <c r="E107" s="80">
        <v>0.0972921052631579</v>
      </c>
      <c r="F107" s="81">
        <v>0.113103405572755</v>
      </c>
      <c r="G107" s="81">
        <v>0.4</v>
      </c>
    </row>
    <row r="108" spans="1:7">
      <c r="A108" s="78" t="s">
        <v>207</v>
      </c>
      <c r="B108" s="299">
        <v>67.97</v>
      </c>
      <c r="C108" s="79">
        <f t="shared" si="1"/>
        <v>64.6</v>
      </c>
      <c r="D108" s="80">
        <v>0.520500956304252</v>
      </c>
      <c r="E108" s="80">
        <v>0.112300573782551</v>
      </c>
      <c r="F108" s="81">
        <v>0.127327938796528</v>
      </c>
      <c r="G108" s="81">
        <v>0.4</v>
      </c>
    </row>
    <row r="109" spans="1:7">
      <c r="A109" s="78" t="s">
        <v>208</v>
      </c>
      <c r="B109" s="299">
        <v>71.22</v>
      </c>
      <c r="C109" s="79">
        <f t="shared" si="1"/>
        <v>67.97</v>
      </c>
      <c r="D109" s="80">
        <v>0.542382055602359</v>
      </c>
      <c r="E109" s="80">
        <v>0.125429233361415</v>
      </c>
      <c r="F109" s="81">
        <v>0.139770850884583</v>
      </c>
      <c r="G109" s="81">
        <v>0.4</v>
      </c>
    </row>
    <row r="110" spans="1:7">
      <c r="A110" s="78" t="s">
        <v>209</v>
      </c>
      <c r="B110" s="299">
        <v>73.25</v>
      </c>
      <c r="C110" s="79">
        <f t="shared" si="1"/>
        <v>71.22</v>
      </c>
      <c r="D110" s="80">
        <v>0.555064163822526</v>
      </c>
      <c r="E110" s="80">
        <v>0.133038498293515</v>
      </c>
      <c r="F110" s="81">
        <v>0.146982662116041</v>
      </c>
      <c r="G110" s="81">
        <v>0.4</v>
      </c>
    </row>
    <row r="111" spans="1:7">
      <c r="A111" s="78" t="s">
        <v>210</v>
      </c>
      <c r="B111" s="299">
        <v>75.9</v>
      </c>
      <c r="C111" s="79">
        <f t="shared" si="1"/>
        <v>73.25</v>
      </c>
      <c r="D111" s="80">
        <v>0.570598814229249</v>
      </c>
      <c r="E111" s="80">
        <v>0.142359288537549</v>
      </c>
      <c r="F111" s="81">
        <v>0.155816600790514</v>
      </c>
      <c r="G111" s="81">
        <v>0.4</v>
      </c>
    </row>
    <row r="112" spans="1:7">
      <c r="A112" s="78" t="s">
        <v>211</v>
      </c>
      <c r="B112" s="299">
        <v>79.91</v>
      </c>
      <c r="C112" s="79">
        <f t="shared" si="1"/>
        <v>75.9</v>
      </c>
      <c r="D112" s="80">
        <v>0.592146790138906</v>
      </c>
      <c r="E112" s="80">
        <v>0.155288074083344</v>
      </c>
      <c r="F112" s="81">
        <v>0.168070078838694</v>
      </c>
      <c r="G112" s="81">
        <v>0.4</v>
      </c>
    </row>
    <row r="113" spans="1:7">
      <c r="A113" s="78" t="s">
        <v>212</v>
      </c>
      <c r="B113" s="299">
        <v>85.36</v>
      </c>
      <c r="C113" s="79">
        <f t="shared" si="1"/>
        <v>79.91</v>
      </c>
      <c r="D113" s="80">
        <v>0.618187089971884</v>
      </c>
      <c r="E113" s="80">
        <v>0.17091225398313</v>
      </c>
      <c r="F113" s="81">
        <v>0.182878163074039</v>
      </c>
      <c r="G113" s="81">
        <v>0.4</v>
      </c>
    </row>
    <row r="114" spans="1:7">
      <c r="A114" s="78" t="s">
        <v>213</v>
      </c>
      <c r="B114" s="299">
        <v>89.72</v>
      </c>
      <c r="C114" s="79">
        <f t="shared" si="1"/>
        <v>85.36</v>
      </c>
      <c r="D114" s="80">
        <v>0.636741529201962</v>
      </c>
      <c r="E114" s="80">
        <v>0.182044917521177</v>
      </c>
      <c r="F114" s="81">
        <v>0.193429335711101</v>
      </c>
      <c r="G114" s="81">
        <v>0.4</v>
      </c>
    </row>
    <row r="115" spans="1:7">
      <c r="A115" s="78" t="s">
        <v>214</v>
      </c>
      <c r="B115" s="299">
        <v>94.47</v>
      </c>
      <c r="C115" s="79">
        <f t="shared" si="1"/>
        <v>89.72</v>
      </c>
      <c r="D115" s="80">
        <v>0.65500635122261</v>
      </c>
      <c r="E115" s="80">
        <v>0.193003810733566</v>
      </c>
      <c r="F115" s="81">
        <v>0.2038158145443</v>
      </c>
      <c r="G115" s="81">
        <v>0.4</v>
      </c>
    </row>
    <row r="116" spans="1:7">
      <c r="A116" s="78" t="s">
        <v>215</v>
      </c>
      <c r="B116" s="299">
        <v>98.69</v>
      </c>
      <c r="C116" s="79">
        <f t="shared" si="1"/>
        <v>94.47</v>
      </c>
      <c r="D116" s="80">
        <v>0.669758334177728</v>
      </c>
      <c r="E116" s="80">
        <v>0.201855000506637</v>
      </c>
      <c r="F116" s="81">
        <v>0.212204681325362</v>
      </c>
      <c r="G116" s="81">
        <v>0.4</v>
      </c>
    </row>
    <row r="117" spans="1:7">
      <c r="A117" s="78" t="s">
        <v>216</v>
      </c>
      <c r="B117" s="299">
        <v>102.56</v>
      </c>
      <c r="C117" s="79">
        <f t="shared" si="1"/>
        <v>98.69</v>
      </c>
      <c r="D117" s="80">
        <v>0.682219676287051</v>
      </c>
      <c r="E117" s="80">
        <v>0.209331805772231</v>
      </c>
      <c r="F117" s="81">
        <v>0.219290951638066</v>
      </c>
      <c r="G117" s="81">
        <v>0.4</v>
      </c>
    </row>
    <row r="118" spans="1:7">
      <c r="A118" s="78" t="s">
        <v>217</v>
      </c>
      <c r="B118" s="299">
        <v>112.09</v>
      </c>
      <c r="C118" s="79">
        <f t="shared" si="1"/>
        <v>102.56</v>
      </c>
      <c r="D118" s="80">
        <v>0.709237666161121</v>
      </c>
      <c r="E118" s="80">
        <v>0.225542599696672</v>
      </c>
      <c r="F118" s="81">
        <v>0.234655009367473</v>
      </c>
      <c r="G118" s="81">
        <v>0.4</v>
      </c>
    </row>
    <row r="119" spans="1:7">
      <c r="A119" s="78" t="s">
        <v>218</v>
      </c>
      <c r="B119" s="299">
        <v>130.2</v>
      </c>
      <c r="C119" s="79">
        <f t="shared" si="1"/>
        <v>112.09</v>
      </c>
      <c r="D119" s="80">
        <v>0.749680875576037</v>
      </c>
      <c r="E119" s="80">
        <v>0.249808525345622</v>
      </c>
      <c r="F119" s="81">
        <v>0.257653456221198</v>
      </c>
      <c r="G119" s="81">
        <v>0.4</v>
      </c>
    </row>
    <row r="120" spans="1:7">
      <c r="A120" s="78" t="s">
        <v>219</v>
      </c>
      <c r="B120" s="299">
        <v>153.6</v>
      </c>
      <c r="C120" s="79">
        <f t="shared" si="1"/>
        <v>130.2</v>
      </c>
      <c r="D120" s="80">
        <v>0.7878154296875</v>
      </c>
      <c r="E120" s="80">
        <v>0.2726892578125</v>
      </c>
      <c r="F120" s="81">
        <v>0.2793390625</v>
      </c>
      <c r="G120" s="81">
        <v>0.4</v>
      </c>
    </row>
    <row r="121" spans="1:7">
      <c r="A121" s="78" t="s">
        <v>220</v>
      </c>
      <c r="B121" s="299">
        <v>183.86</v>
      </c>
      <c r="C121" s="79">
        <f t="shared" si="1"/>
        <v>153.6</v>
      </c>
      <c r="D121" s="80">
        <v>0.822737136952029</v>
      </c>
      <c r="E121" s="80">
        <v>0.293642282171217</v>
      </c>
      <c r="F121" s="81">
        <v>0.299197650386163</v>
      </c>
      <c r="G121" s="81">
        <v>0.4</v>
      </c>
    </row>
    <row r="122" spans="1:7">
      <c r="A122" s="78" t="s">
        <v>221</v>
      </c>
      <c r="B122" s="299">
        <v>269.98</v>
      </c>
      <c r="C122" s="79">
        <f t="shared" si="1"/>
        <v>183.86</v>
      </c>
      <c r="D122" s="80">
        <v>0.879281613452848</v>
      </c>
      <c r="E122" s="80">
        <v>0.327568968071709</v>
      </c>
      <c r="F122" s="81">
        <v>0.33135224831469</v>
      </c>
      <c r="G122" s="81">
        <v>0.4</v>
      </c>
    </row>
    <row r="123" ht="15.75" spans="1:7">
      <c r="A123" s="78" t="s">
        <v>221</v>
      </c>
      <c r="B123" s="116" t="s">
        <v>372</v>
      </c>
      <c r="C123" s="79">
        <f t="shared" si="1"/>
        <v>269.98</v>
      </c>
      <c r="D123" s="83" t="s">
        <v>232</v>
      </c>
      <c r="E123" s="83"/>
      <c r="F123" s="84"/>
      <c r="G123" s="84"/>
    </row>
    <row r="124" spans="1:7">
      <c r="A124" s="78"/>
      <c r="B124" s="78"/>
      <c r="C124" s="78"/>
      <c r="D124" s="83"/>
      <c r="E124" s="85">
        <v>0.0769607068662064</v>
      </c>
      <c r="F124" s="86">
        <v>0.0843214550348</v>
      </c>
      <c r="G124" s="86">
        <v>0.4</v>
      </c>
    </row>
    <row r="125" ht="48.75" spans="1:7">
      <c r="A125" s="87" t="s">
        <v>233</v>
      </c>
      <c r="B125" s="116"/>
      <c r="C125" s="78"/>
      <c r="D125" s="83"/>
      <c r="E125" s="127">
        <v>54.31925</v>
      </c>
      <c r="F125" s="128">
        <v>51.482</v>
      </c>
      <c r="G125" s="129">
        <v>0</v>
      </c>
    </row>
    <row r="126" ht="48.75" spans="1:7">
      <c r="A126" s="87" t="s">
        <v>224</v>
      </c>
      <c r="B126" s="116">
        <v>60.23</v>
      </c>
      <c r="C126" s="78"/>
      <c r="D126" s="83"/>
      <c r="E126" s="83"/>
      <c r="F126" s="84"/>
      <c r="G126" s="84"/>
    </row>
    <row r="127" ht="84.75" spans="1:7">
      <c r="A127" s="106" t="s">
        <v>225</v>
      </c>
      <c r="B127" s="116">
        <v>36.138</v>
      </c>
      <c r="C127" s="78"/>
      <c r="D127" s="83"/>
      <c r="E127" s="83">
        <v>32.59155</v>
      </c>
      <c r="F127" s="84">
        <v>30.8892</v>
      </c>
      <c r="G127" s="84">
        <v>0</v>
      </c>
    </row>
    <row r="129" ht="48.75" spans="1:2">
      <c r="A129" s="256" t="s">
        <v>224</v>
      </c>
      <c r="B129">
        <f>B126</f>
        <v>60.23</v>
      </c>
    </row>
    <row r="130" spans="1:3">
      <c r="A130" s="531" t="s">
        <v>226</v>
      </c>
      <c r="B130" s="95">
        <f>AVERAGE(B78:B117)</f>
        <v>54.31925</v>
      </c>
      <c r="C130" s="95"/>
    </row>
    <row r="131" spans="1:3">
      <c r="A131" s="531" t="s">
        <v>227</v>
      </c>
      <c r="B131" s="96">
        <f>AVERAGE(B83:B112)</f>
        <v>51.482</v>
      </c>
      <c r="C131" s="96"/>
    </row>
    <row r="132" spans="1:3">
      <c r="A132" s="531" t="s">
        <v>228</v>
      </c>
      <c r="B132" s="96">
        <f>AVERAGE(B89:B107)</f>
        <v>50.4168421052632</v>
      </c>
      <c r="C132" s="96"/>
    </row>
    <row r="133" ht="15.75"/>
    <row r="134" ht="15.75" spans="1:7">
      <c r="A134" s="252" t="s">
        <v>165</v>
      </c>
      <c r="B134" s="67" t="s">
        <v>347</v>
      </c>
      <c r="C134" s="68"/>
      <c r="D134" s="69"/>
      <c r="E134" s="70">
        <f>(1-E189)^(1/3)-1</f>
        <v>0</v>
      </c>
      <c r="F134" s="70">
        <f>(1-F189)^(1/3)-1</f>
        <v>0</v>
      </c>
      <c r="G134" s="70"/>
    </row>
    <row r="135" ht="72.75" spans="1:7">
      <c r="A135" s="253"/>
      <c r="B135" s="72" t="s">
        <v>167</v>
      </c>
      <c r="C135" s="107"/>
      <c r="D135" s="83" t="s">
        <v>168</v>
      </c>
      <c r="E135" s="83" t="s">
        <v>169</v>
      </c>
      <c r="F135" s="84" t="s">
        <v>169</v>
      </c>
      <c r="G135" s="84"/>
    </row>
    <row r="136" ht="24.75" spans="1:7">
      <c r="A136" s="254"/>
      <c r="B136" s="72" t="s">
        <v>235</v>
      </c>
      <c r="C136" s="107"/>
      <c r="D136" s="83" t="s">
        <v>171</v>
      </c>
      <c r="E136" s="83" t="s">
        <v>171</v>
      </c>
      <c r="F136" s="84" t="s">
        <v>171</v>
      </c>
      <c r="G136" s="84"/>
    </row>
    <row r="137" ht="15.75" spans="1:7">
      <c r="A137" s="75">
        <v>1</v>
      </c>
      <c r="B137" s="76">
        <v>2</v>
      </c>
      <c r="C137" s="76"/>
      <c r="D137" s="76">
        <v>3</v>
      </c>
      <c r="E137" s="76">
        <v>4</v>
      </c>
      <c r="F137" s="77">
        <v>5</v>
      </c>
      <c r="G137" s="77"/>
    </row>
    <row r="138" ht="15.75" spans="1:7">
      <c r="A138" s="533" t="s">
        <v>172</v>
      </c>
      <c r="B138" s="272"/>
      <c r="C138" s="112">
        <v>0</v>
      </c>
      <c r="D138" s="80">
        <f t="shared" ref="D138:D169" si="2">IF(B138=0,0,IF(B138&lt;=E$192,0,B138-E$192)/B138)</f>
        <v>0</v>
      </c>
      <c r="E138" s="80"/>
      <c r="F138" s="81"/>
      <c r="G138" s="81"/>
    </row>
    <row r="139" ht="15.75" spans="1:7">
      <c r="A139" s="533" t="s">
        <v>173</v>
      </c>
      <c r="B139" s="74"/>
      <c r="C139" s="79">
        <f>B138</f>
        <v>0</v>
      </c>
      <c r="D139" s="80">
        <f t="shared" si="2"/>
        <v>0</v>
      </c>
      <c r="E139" s="80"/>
      <c r="F139" s="81"/>
      <c r="G139" s="81"/>
    </row>
    <row r="140" ht="15.75" spans="1:7">
      <c r="A140" s="533" t="s">
        <v>174</v>
      </c>
      <c r="B140" s="74"/>
      <c r="C140" s="79">
        <f t="shared" ref="C140:C188" si="3">B139</f>
        <v>0</v>
      </c>
      <c r="D140" s="80">
        <f t="shared" si="2"/>
        <v>0</v>
      </c>
      <c r="E140" s="80"/>
      <c r="F140" s="81"/>
      <c r="G140" s="81"/>
    </row>
    <row r="141" ht="15.75" spans="1:7">
      <c r="A141" s="533" t="s">
        <v>175</v>
      </c>
      <c r="B141" s="74"/>
      <c r="C141" s="79">
        <f t="shared" si="3"/>
        <v>0</v>
      </c>
      <c r="D141" s="80">
        <f t="shared" si="2"/>
        <v>0</v>
      </c>
      <c r="E141" s="80"/>
      <c r="F141" s="81"/>
      <c r="G141" s="81"/>
    </row>
    <row r="142" ht="15.75" spans="1:7">
      <c r="A142" s="533" t="s">
        <v>176</v>
      </c>
      <c r="B142" s="74"/>
      <c r="C142" s="79">
        <f t="shared" si="3"/>
        <v>0</v>
      </c>
      <c r="D142" s="80">
        <f t="shared" si="2"/>
        <v>0</v>
      </c>
      <c r="E142" s="80"/>
      <c r="F142" s="81"/>
      <c r="G142" s="81"/>
    </row>
    <row r="143" ht="15.75" spans="1:7">
      <c r="A143" s="533" t="s">
        <v>177</v>
      </c>
      <c r="B143" s="74"/>
      <c r="C143" s="79">
        <f t="shared" si="3"/>
        <v>0</v>
      </c>
      <c r="D143" s="80">
        <f t="shared" si="2"/>
        <v>0</v>
      </c>
      <c r="E143" s="80"/>
      <c r="F143" s="81"/>
      <c r="G143" s="81"/>
    </row>
    <row r="144" ht="15.75" spans="1:7">
      <c r="A144" s="533" t="s">
        <v>178</v>
      </c>
      <c r="B144" s="74"/>
      <c r="C144" s="79">
        <f t="shared" si="3"/>
        <v>0</v>
      </c>
      <c r="D144" s="80">
        <f t="shared" si="2"/>
        <v>0</v>
      </c>
      <c r="E144" s="80"/>
      <c r="F144" s="81"/>
      <c r="G144" s="81"/>
    </row>
    <row r="145" ht="15.75" spans="1:7">
      <c r="A145" s="257" t="s">
        <v>179</v>
      </c>
      <c r="B145" s="74"/>
      <c r="C145" s="79">
        <f t="shared" si="3"/>
        <v>0</v>
      </c>
      <c r="D145" s="80">
        <f t="shared" si="2"/>
        <v>0</v>
      </c>
      <c r="E145" s="80"/>
      <c r="F145" s="81"/>
      <c r="G145" s="81"/>
    </row>
    <row r="146" ht="15.75" spans="1:7">
      <c r="A146" s="257" t="s">
        <v>180</v>
      </c>
      <c r="B146" s="74"/>
      <c r="C146" s="79">
        <f t="shared" si="3"/>
        <v>0</v>
      </c>
      <c r="D146" s="80">
        <f t="shared" si="2"/>
        <v>0</v>
      </c>
      <c r="E146" s="80"/>
      <c r="F146" s="81"/>
      <c r="G146" s="81"/>
    </row>
    <row r="147" ht="15.75" spans="1:7">
      <c r="A147" s="257" t="s">
        <v>181</v>
      </c>
      <c r="B147" s="74"/>
      <c r="C147" s="79">
        <f t="shared" si="3"/>
        <v>0</v>
      </c>
      <c r="D147" s="80">
        <f t="shared" si="2"/>
        <v>0</v>
      </c>
      <c r="E147" s="80"/>
      <c r="F147" s="81"/>
      <c r="G147" s="81"/>
    </row>
    <row r="148" ht="15.75" spans="1:7">
      <c r="A148" s="257" t="s">
        <v>182</v>
      </c>
      <c r="B148" s="74"/>
      <c r="C148" s="79">
        <f t="shared" si="3"/>
        <v>0</v>
      </c>
      <c r="D148" s="80">
        <f t="shared" si="2"/>
        <v>0</v>
      </c>
      <c r="E148" s="80"/>
      <c r="F148" s="81"/>
      <c r="G148" s="81"/>
    </row>
    <row r="149" ht="15.75" spans="1:7">
      <c r="A149" s="257" t="s">
        <v>183</v>
      </c>
      <c r="B149" s="74"/>
      <c r="C149" s="79">
        <f t="shared" si="3"/>
        <v>0</v>
      </c>
      <c r="D149" s="80">
        <f t="shared" si="2"/>
        <v>0</v>
      </c>
      <c r="E149" s="80"/>
      <c r="F149" s="81"/>
      <c r="G149" s="81"/>
    </row>
    <row r="150" ht="15.75" spans="1:7">
      <c r="A150" s="257" t="s">
        <v>184</v>
      </c>
      <c r="B150" s="74"/>
      <c r="C150" s="79">
        <f t="shared" si="3"/>
        <v>0</v>
      </c>
      <c r="D150" s="80">
        <f t="shared" si="2"/>
        <v>0</v>
      </c>
      <c r="E150" s="80"/>
      <c r="F150" s="81"/>
      <c r="G150" s="81"/>
    </row>
    <row r="151" ht="15.75" spans="1:7">
      <c r="A151" s="257" t="s">
        <v>185</v>
      </c>
      <c r="B151" s="74"/>
      <c r="C151" s="79">
        <f t="shared" si="3"/>
        <v>0</v>
      </c>
      <c r="D151" s="80">
        <f t="shared" si="2"/>
        <v>0</v>
      </c>
      <c r="E151" s="80"/>
      <c r="F151" s="81"/>
      <c r="G151" s="81"/>
    </row>
    <row r="152" ht="15.75" spans="1:7">
      <c r="A152" s="257" t="s">
        <v>186</v>
      </c>
      <c r="B152" s="74"/>
      <c r="C152" s="79">
        <f t="shared" si="3"/>
        <v>0</v>
      </c>
      <c r="D152" s="80">
        <f t="shared" si="2"/>
        <v>0</v>
      </c>
      <c r="E152" s="80"/>
      <c r="F152" s="81"/>
      <c r="G152" s="81"/>
    </row>
    <row r="153" ht="15.75" spans="1:7">
      <c r="A153" s="257" t="s">
        <v>187</v>
      </c>
      <c r="B153" s="74"/>
      <c r="C153" s="79">
        <f t="shared" si="3"/>
        <v>0</v>
      </c>
      <c r="D153" s="80">
        <f t="shared" si="2"/>
        <v>0</v>
      </c>
      <c r="E153" s="80"/>
      <c r="F153" s="81"/>
      <c r="G153" s="81"/>
    </row>
    <row r="154" ht="15.75" spans="1:7">
      <c r="A154" s="257" t="s">
        <v>188</v>
      </c>
      <c r="B154" s="74"/>
      <c r="C154" s="79">
        <f t="shared" si="3"/>
        <v>0</v>
      </c>
      <c r="D154" s="80">
        <f t="shared" si="2"/>
        <v>0</v>
      </c>
      <c r="E154" s="80"/>
      <c r="F154" s="81"/>
      <c r="G154" s="81"/>
    </row>
    <row r="155" ht="15.75" spans="1:7">
      <c r="A155" s="257" t="s">
        <v>189</v>
      </c>
      <c r="B155" s="74"/>
      <c r="C155" s="79">
        <f t="shared" si="3"/>
        <v>0</v>
      </c>
      <c r="D155" s="80">
        <f t="shared" si="2"/>
        <v>0</v>
      </c>
      <c r="E155" s="80"/>
      <c r="F155" s="81"/>
      <c r="G155" s="81"/>
    </row>
    <row r="156" ht="15.75" spans="1:7">
      <c r="A156" s="257" t="s">
        <v>190</v>
      </c>
      <c r="B156" s="74"/>
      <c r="C156" s="79">
        <f t="shared" si="3"/>
        <v>0</v>
      </c>
      <c r="D156" s="80">
        <f t="shared" si="2"/>
        <v>0</v>
      </c>
      <c r="E156" s="80"/>
      <c r="F156" s="81"/>
      <c r="G156" s="81"/>
    </row>
    <row r="157" ht="15.75" spans="1:7">
      <c r="A157" s="257" t="s">
        <v>191</v>
      </c>
      <c r="B157" s="74"/>
      <c r="C157" s="79">
        <f t="shared" si="3"/>
        <v>0</v>
      </c>
      <c r="D157" s="80">
        <f t="shared" si="2"/>
        <v>0</v>
      </c>
      <c r="E157" s="80"/>
      <c r="F157" s="81"/>
      <c r="G157" s="81"/>
    </row>
    <row r="158" ht="15.75" spans="1:7">
      <c r="A158" s="257" t="s">
        <v>192</v>
      </c>
      <c r="B158" s="74"/>
      <c r="C158" s="79">
        <f t="shared" si="3"/>
        <v>0</v>
      </c>
      <c r="D158" s="80">
        <f t="shared" si="2"/>
        <v>0</v>
      </c>
      <c r="E158" s="80"/>
      <c r="F158" s="81"/>
      <c r="G158" s="81"/>
    </row>
    <row r="159" ht="15.75" spans="1:7">
      <c r="A159" s="257" t="s">
        <v>193</v>
      </c>
      <c r="B159" s="74"/>
      <c r="C159" s="79">
        <f t="shared" si="3"/>
        <v>0</v>
      </c>
      <c r="D159" s="80">
        <f t="shared" si="2"/>
        <v>0</v>
      </c>
      <c r="E159" s="80"/>
      <c r="F159" s="81"/>
      <c r="G159" s="81"/>
    </row>
    <row r="160" ht="15.75" spans="1:7">
      <c r="A160" s="257" t="s">
        <v>194</v>
      </c>
      <c r="B160" s="74"/>
      <c r="C160" s="79">
        <f t="shared" si="3"/>
        <v>0</v>
      </c>
      <c r="D160" s="80">
        <f t="shared" si="2"/>
        <v>0</v>
      </c>
      <c r="E160" s="80"/>
      <c r="F160" s="81"/>
      <c r="G160" s="81"/>
    </row>
    <row r="161" ht="15.75" spans="1:7">
      <c r="A161" s="257" t="s">
        <v>195</v>
      </c>
      <c r="B161" s="74"/>
      <c r="C161" s="79">
        <f t="shared" si="3"/>
        <v>0</v>
      </c>
      <c r="D161" s="80">
        <f t="shared" si="2"/>
        <v>0</v>
      </c>
      <c r="E161" s="80"/>
      <c r="F161" s="81"/>
      <c r="G161" s="81"/>
    </row>
    <row r="162" ht="15.75" spans="1:7">
      <c r="A162" s="257" t="s">
        <v>196</v>
      </c>
      <c r="B162" s="74"/>
      <c r="C162" s="79">
        <f t="shared" si="3"/>
        <v>0</v>
      </c>
      <c r="D162" s="80">
        <f t="shared" si="2"/>
        <v>0</v>
      </c>
      <c r="E162" s="80"/>
      <c r="F162" s="81"/>
      <c r="G162" s="81"/>
    </row>
    <row r="163" ht="15.75" spans="1:7">
      <c r="A163" s="257" t="s">
        <v>197</v>
      </c>
      <c r="B163" s="74"/>
      <c r="C163" s="79">
        <f t="shared" si="3"/>
        <v>0</v>
      </c>
      <c r="D163" s="80">
        <f t="shared" si="2"/>
        <v>0</v>
      </c>
      <c r="E163" s="80"/>
      <c r="F163" s="81"/>
      <c r="G163" s="81"/>
    </row>
    <row r="164" ht="15.75" spans="1:7">
      <c r="A164" s="257" t="s">
        <v>198</v>
      </c>
      <c r="B164" s="74"/>
      <c r="C164" s="79">
        <f t="shared" si="3"/>
        <v>0</v>
      </c>
      <c r="D164" s="80">
        <f t="shared" si="2"/>
        <v>0</v>
      </c>
      <c r="E164" s="80"/>
      <c r="F164" s="81"/>
      <c r="G164" s="81"/>
    </row>
    <row r="165" ht="15.75" spans="1:7">
      <c r="A165" s="257" t="s">
        <v>199</v>
      </c>
      <c r="B165" s="74"/>
      <c r="C165" s="79">
        <f t="shared" si="3"/>
        <v>0</v>
      </c>
      <c r="D165" s="80">
        <f t="shared" si="2"/>
        <v>0</v>
      </c>
      <c r="E165" s="80"/>
      <c r="F165" s="81"/>
      <c r="G165" s="81"/>
    </row>
    <row r="166" ht="15.75" spans="1:7">
      <c r="A166" s="257" t="s">
        <v>200</v>
      </c>
      <c r="B166" s="74"/>
      <c r="C166" s="79">
        <f t="shared" si="3"/>
        <v>0</v>
      </c>
      <c r="D166" s="80">
        <f t="shared" si="2"/>
        <v>0</v>
      </c>
      <c r="E166" s="80"/>
      <c r="F166" s="81"/>
      <c r="G166" s="81"/>
    </row>
    <row r="167" ht="15.75" spans="1:7">
      <c r="A167" s="257" t="s">
        <v>201</v>
      </c>
      <c r="B167" s="74"/>
      <c r="C167" s="79">
        <f t="shared" si="3"/>
        <v>0</v>
      </c>
      <c r="D167" s="80">
        <f t="shared" si="2"/>
        <v>0</v>
      </c>
      <c r="E167" s="80"/>
      <c r="F167" s="81"/>
      <c r="G167" s="81"/>
    </row>
    <row r="168" ht="15.75" spans="1:7">
      <c r="A168" s="257" t="s">
        <v>202</v>
      </c>
      <c r="B168" s="74"/>
      <c r="C168" s="79">
        <f t="shared" si="3"/>
        <v>0</v>
      </c>
      <c r="D168" s="80">
        <f t="shared" si="2"/>
        <v>0</v>
      </c>
      <c r="E168" s="80"/>
      <c r="F168" s="81"/>
      <c r="G168" s="81"/>
    </row>
    <row r="169" ht="15.75" spans="1:7">
      <c r="A169" s="257" t="s">
        <v>203</v>
      </c>
      <c r="B169" s="74"/>
      <c r="C169" s="79">
        <f t="shared" si="3"/>
        <v>0</v>
      </c>
      <c r="D169" s="80">
        <f t="shared" si="2"/>
        <v>0</v>
      </c>
      <c r="E169" s="80"/>
      <c r="F169" s="81"/>
      <c r="G169" s="81"/>
    </row>
    <row r="170" ht="15.75" spans="1:7">
      <c r="A170" s="257" t="s">
        <v>204</v>
      </c>
      <c r="B170" s="74"/>
      <c r="C170" s="79">
        <f t="shared" si="3"/>
        <v>0</v>
      </c>
      <c r="D170" s="80">
        <f t="shared" ref="D170:D187" si="4">IF(B170=0,0,IF(B170&lt;=E$192,0,B170-E$192)/B170)</f>
        <v>0</v>
      </c>
      <c r="E170" s="80"/>
      <c r="F170" s="81"/>
      <c r="G170" s="81"/>
    </row>
    <row r="171" ht="15.75" spans="1:7">
      <c r="A171" s="257" t="s">
        <v>205</v>
      </c>
      <c r="B171" s="74"/>
      <c r="C171" s="79">
        <f t="shared" si="3"/>
        <v>0</v>
      </c>
      <c r="D171" s="80">
        <f t="shared" si="4"/>
        <v>0</v>
      </c>
      <c r="E171" s="80"/>
      <c r="F171" s="81"/>
      <c r="G171" s="81"/>
    </row>
    <row r="172" ht="15.75" spans="1:7">
      <c r="A172" s="257" t="s">
        <v>206</v>
      </c>
      <c r="B172" s="74"/>
      <c r="C172" s="79">
        <f t="shared" si="3"/>
        <v>0</v>
      </c>
      <c r="D172" s="80">
        <f t="shared" si="4"/>
        <v>0</v>
      </c>
      <c r="E172" s="80"/>
      <c r="F172" s="81"/>
      <c r="G172" s="81"/>
    </row>
    <row r="173" ht="15.75" spans="1:7">
      <c r="A173" s="257" t="s">
        <v>207</v>
      </c>
      <c r="B173" s="74"/>
      <c r="C173" s="79">
        <f t="shared" si="3"/>
        <v>0</v>
      </c>
      <c r="D173" s="80">
        <f t="shared" si="4"/>
        <v>0</v>
      </c>
      <c r="E173" s="80"/>
      <c r="F173" s="81"/>
      <c r="G173" s="81"/>
    </row>
    <row r="174" ht="15.75" spans="1:7">
      <c r="A174" s="257" t="s">
        <v>208</v>
      </c>
      <c r="B174" s="74"/>
      <c r="C174" s="79">
        <f t="shared" si="3"/>
        <v>0</v>
      </c>
      <c r="D174" s="80">
        <f t="shared" si="4"/>
        <v>0</v>
      </c>
      <c r="E174" s="80"/>
      <c r="F174" s="81"/>
      <c r="G174" s="81"/>
    </row>
    <row r="175" ht="15.75" spans="1:7">
      <c r="A175" s="257" t="s">
        <v>209</v>
      </c>
      <c r="B175" s="74"/>
      <c r="C175" s="79">
        <f t="shared" si="3"/>
        <v>0</v>
      </c>
      <c r="D175" s="80">
        <f t="shared" si="4"/>
        <v>0</v>
      </c>
      <c r="E175" s="80"/>
      <c r="F175" s="81"/>
      <c r="G175" s="81"/>
    </row>
    <row r="176" ht="15.75" spans="1:7">
      <c r="A176" s="257" t="s">
        <v>210</v>
      </c>
      <c r="B176" s="74"/>
      <c r="C176" s="79">
        <f t="shared" si="3"/>
        <v>0</v>
      </c>
      <c r="D176" s="80">
        <f t="shared" si="4"/>
        <v>0</v>
      </c>
      <c r="E176" s="80"/>
      <c r="F176" s="81"/>
      <c r="G176" s="81"/>
    </row>
    <row r="177" ht="15.75" spans="1:7">
      <c r="A177" s="257" t="s">
        <v>211</v>
      </c>
      <c r="B177" s="74"/>
      <c r="C177" s="79">
        <f t="shared" si="3"/>
        <v>0</v>
      </c>
      <c r="D177" s="80">
        <f t="shared" si="4"/>
        <v>0</v>
      </c>
      <c r="E177" s="80"/>
      <c r="F177" s="81"/>
      <c r="G177" s="81"/>
    </row>
    <row r="178" ht="15.75" spans="1:7">
      <c r="A178" s="257" t="s">
        <v>212</v>
      </c>
      <c r="B178" s="74"/>
      <c r="C178" s="79">
        <f t="shared" si="3"/>
        <v>0</v>
      </c>
      <c r="D178" s="80">
        <f t="shared" si="4"/>
        <v>0</v>
      </c>
      <c r="E178" s="80"/>
      <c r="F178" s="81"/>
      <c r="G178" s="81"/>
    </row>
    <row r="179" ht="15.75" spans="1:7">
      <c r="A179" s="257" t="s">
        <v>213</v>
      </c>
      <c r="B179" s="74"/>
      <c r="C179" s="79">
        <f t="shared" si="3"/>
        <v>0</v>
      </c>
      <c r="D179" s="80">
        <f t="shared" si="4"/>
        <v>0</v>
      </c>
      <c r="E179" s="80"/>
      <c r="F179" s="81"/>
      <c r="G179" s="81"/>
    </row>
    <row r="180" ht="15.75" spans="1:7">
      <c r="A180" s="257" t="s">
        <v>214</v>
      </c>
      <c r="B180" s="74"/>
      <c r="C180" s="79">
        <f t="shared" si="3"/>
        <v>0</v>
      </c>
      <c r="D180" s="80">
        <f t="shared" si="4"/>
        <v>0</v>
      </c>
      <c r="E180" s="80"/>
      <c r="F180" s="81"/>
      <c r="G180" s="81"/>
    </row>
    <row r="181" ht="15.75" spans="1:7">
      <c r="A181" s="257" t="s">
        <v>215</v>
      </c>
      <c r="B181" s="74"/>
      <c r="C181" s="79">
        <f t="shared" si="3"/>
        <v>0</v>
      </c>
      <c r="D181" s="80">
        <f t="shared" si="4"/>
        <v>0</v>
      </c>
      <c r="E181" s="80"/>
      <c r="F181" s="81"/>
      <c r="G181" s="81"/>
    </row>
    <row r="182" ht="15.75" spans="1:7">
      <c r="A182" s="257" t="s">
        <v>216</v>
      </c>
      <c r="B182" s="74"/>
      <c r="C182" s="79">
        <f t="shared" si="3"/>
        <v>0</v>
      </c>
      <c r="D182" s="80">
        <f t="shared" si="4"/>
        <v>0</v>
      </c>
      <c r="E182" s="80"/>
      <c r="F182" s="81"/>
      <c r="G182" s="81"/>
    </row>
    <row r="183" ht="15.75" spans="1:7">
      <c r="A183" s="257" t="s">
        <v>217</v>
      </c>
      <c r="B183" s="74"/>
      <c r="C183" s="79">
        <f t="shared" si="3"/>
        <v>0</v>
      </c>
      <c r="D183" s="80">
        <f t="shared" si="4"/>
        <v>0</v>
      </c>
      <c r="E183" s="80"/>
      <c r="F183" s="81"/>
      <c r="G183" s="81"/>
    </row>
    <row r="184" ht="15.75" spans="1:7">
      <c r="A184" s="257" t="s">
        <v>218</v>
      </c>
      <c r="B184" s="74"/>
      <c r="C184" s="79">
        <f t="shared" si="3"/>
        <v>0</v>
      </c>
      <c r="D184" s="80">
        <f t="shared" si="4"/>
        <v>0</v>
      </c>
      <c r="E184" s="80"/>
      <c r="F184" s="81"/>
      <c r="G184" s="81"/>
    </row>
    <row r="185" ht="15.75" spans="1:7">
      <c r="A185" s="257" t="s">
        <v>219</v>
      </c>
      <c r="B185" s="74"/>
      <c r="C185" s="79">
        <f t="shared" si="3"/>
        <v>0</v>
      </c>
      <c r="D185" s="80">
        <f t="shared" si="4"/>
        <v>0</v>
      </c>
      <c r="E185" s="80"/>
      <c r="F185" s="81"/>
      <c r="G185" s="81"/>
    </row>
    <row r="186" ht="15.75" spans="1:7">
      <c r="A186" s="257" t="s">
        <v>220</v>
      </c>
      <c r="B186" s="74"/>
      <c r="C186" s="79">
        <f t="shared" si="3"/>
        <v>0</v>
      </c>
      <c r="D186" s="80">
        <f t="shared" si="4"/>
        <v>0</v>
      </c>
      <c r="E186" s="80"/>
      <c r="F186" s="81"/>
      <c r="G186" s="81"/>
    </row>
    <row r="187" ht="15.75" spans="1:7">
      <c r="A187" s="257" t="s">
        <v>221</v>
      </c>
      <c r="B187" s="286"/>
      <c r="C187" s="79">
        <f t="shared" si="3"/>
        <v>0</v>
      </c>
      <c r="D187" s="80">
        <f t="shared" si="4"/>
        <v>0</v>
      </c>
      <c r="E187" s="80"/>
      <c r="F187" s="81"/>
      <c r="G187" s="81"/>
    </row>
    <row r="188" ht="15.75" spans="1:7">
      <c r="A188" s="257" t="s">
        <v>221</v>
      </c>
      <c r="B188" s="257"/>
      <c r="C188" s="79">
        <f t="shared" si="3"/>
        <v>0</v>
      </c>
      <c r="D188" s="260"/>
      <c r="E188" s="72"/>
      <c r="F188" s="73"/>
      <c r="G188" s="84"/>
    </row>
    <row r="189" ht="15.75" spans="1:7">
      <c r="A189" s="257"/>
      <c r="B189" s="257"/>
      <c r="C189" s="116"/>
      <c r="D189" s="260"/>
      <c r="E189" s="261"/>
      <c r="F189" s="262"/>
      <c r="G189" s="262"/>
    </row>
    <row r="190" ht="48.75" spans="1:7">
      <c r="A190" s="256" t="s">
        <v>233</v>
      </c>
      <c r="B190" s="287"/>
      <c r="C190" s="116"/>
      <c r="D190" s="260"/>
      <c r="E190" s="263"/>
      <c r="F190" s="264"/>
      <c r="G190" s="265"/>
    </row>
    <row r="191" ht="48.75" spans="1:7">
      <c r="A191" s="256" t="s">
        <v>224</v>
      </c>
      <c r="B191" s="286"/>
      <c r="C191" s="116"/>
      <c r="D191" s="72"/>
      <c r="E191" s="72"/>
      <c r="F191" s="73"/>
      <c r="G191" s="73"/>
    </row>
    <row r="192" ht="84.75" spans="1:7">
      <c r="A192" s="266" t="s">
        <v>225</v>
      </c>
      <c r="B192" s="116"/>
      <c r="C192" s="116"/>
      <c r="D192" s="72"/>
      <c r="E192" s="72">
        <f>0.6*E190</f>
        <v>0</v>
      </c>
      <c r="F192" s="73">
        <f>0.6*F190</f>
        <v>0</v>
      </c>
      <c r="G192" s="73"/>
    </row>
    <row r="195" spans="1:3">
      <c r="A195" s="531" t="s">
        <v>226</v>
      </c>
      <c r="B195" s="95" t="e">
        <f>AVERAGE(B143:B182)</f>
        <v>#DIV/0!</v>
      </c>
      <c r="C195" s="95"/>
    </row>
    <row r="196" spans="1:3">
      <c r="A196" s="531" t="s">
        <v>227</v>
      </c>
      <c r="B196" s="96" t="e">
        <f>AVERAGE(B148:B177)</f>
        <v>#DIV/0!</v>
      </c>
      <c r="C196" s="96"/>
    </row>
    <row r="197" spans="1:3">
      <c r="A197" s="531" t="s">
        <v>228</v>
      </c>
      <c r="B197" s="96" t="e">
        <f>AVERAGE(B154:B172)</f>
        <v>#DIV/0!</v>
      </c>
      <c r="C197" s="96"/>
    </row>
    <row r="200" customHeight="1" spans="1:7">
      <c r="A200" s="83" t="s">
        <v>165</v>
      </c>
      <c r="B200" s="83" t="s">
        <v>234</v>
      </c>
      <c r="C200" s="83"/>
      <c r="D200" s="83"/>
      <c r="E200" s="86">
        <f>(1-E255)^(1/3)-1</f>
        <v>-0.0304402033807865</v>
      </c>
      <c r="F200" s="86">
        <f>(1-F255)^(1/3)-1</f>
        <v>-0.0364279541246223</v>
      </c>
      <c r="G200" s="86"/>
    </row>
    <row r="201" ht="72" spans="1:7">
      <c r="A201" s="83"/>
      <c r="B201" s="83" t="s">
        <v>167</v>
      </c>
      <c r="C201" s="83"/>
      <c r="D201" s="83" t="s">
        <v>168</v>
      </c>
      <c r="E201" s="83" t="s">
        <v>169</v>
      </c>
      <c r="F201" s="84" t="s">
        <v>169</v>
      </c>
      <c r="G201" s="84"/>
    </row>
    <row r="202" ht="24" spans="1:7">
      <c r="A202" s="83"/>
      <c r="B202" s="83" t="s">
        <v>235</v>
      </c>
      <c r="C202" s="83"/>
      <c r="D202" s="83" t="s">
        <v>171</v>
      </c>
      <c r="E202" s="534" t="s">
        <v>227</v>
      </c>
      <c r="F202" s="84"/>
      <c r="G202" s="267"/>
    </row>
    <row r="203" spans="1:7">
      <c r="A203" s="75">
        <v>1</v>
      </c>
      <c r="B203" s="76">
        <v>2</v>
      </c>
      <c r="C203" s="76"/>
      <c r="D203" s="76">
        <v>3</v>
      </c>
      <c r="E203" s="76">
        <v>4</v>
      </c>
      <c r="F203" s="77">
        <v>5</v>
      </c>
      <c r="G203" s="77"/>
    </row>
    <row r="204" spans="1:7">
      <c r="A204" s="535" t="s">
        <v>172</v>
      </c>
      <c r="B204" s="307">
        <v>0.01</v>
      </c>
      <c r="C204" s="89">
        <v>0</v>
      </c>
      <c r="D204" s="113">
        <v>0</v>
      </c>
      <c r="E204" s="80">
        <v>0</v>
      </c>
      <c r="F204" s="81">
        <v>0</v>
      </c>
      <c r="G204" s="81">
        <v>0.4</v>
      </c>
    </row>
    <row r="205" spans="1:7">
      <c r="A205" s="535" t="s">
        <v>173</v>
      </c>
      <c r="B205" s="307">
        <v>0.037</v>
      </c>
      <c r="C205" s="79">
        <f>B204</f>
        <v>0.01</v>
      </c>
      <c r="D205" s="113">
        <v>0</v>
      </c>
      <c r="E205" s="80">
        <v>0</v>
      </c>
      <c r="F205" s="81">
        <v>0</v>
      </c>
      <c r="G205" s="81">
        <v>0.4</v>
      </c>
    </row>
    <row r="206" spans="1:7">
      <c r="A206" s="535" t="s">
        <v>174</v>
      </c>
      <c r="B206" s="307">
        <v>0.146</v>
      </c>
      <c r="C206" s="79">
        <f t="shared" ref="C206:C254" si="5">B205</f>
        <v>0.037</v>
      </c>
      <c r="D206" s="113">
        <v>0</v>
      </c>
      <c r="E206" s="80">
        <v>0</v>
      </c>
      <c r="F206" s="81">
        <v>0</v>
      </c>
      <c r="G206" s="81">
        <v>0.4</v>
      </c>
    </row>
    <row r="207" spans="1:7">
      <c r="A207" s="535" t="s">
        <v>175</v>
      </c>
      <c r="B207" s="307">
        <v>0.274</v>
      </c>
      <c r="C207" s="79">
        <f t="shared" si="5"/>
        <v>0.146</v>
      </c>
      <c r="D207" s="113">
        <v>0</v>
      </c>
      <c r="E207" s="80">
        <v>0</v>
      </c>
      <c r="F207" s="81">
        <v>0</v>
      </c>
      <c r="G207" s="81">
        <v>0.4</v>
      </c>
    </row>
    <row r="208" spans="1:7">
      <c r="A208" s="535" t="s">
        <v>176</v>
      </c>
      <c r="B208" s="307">
        <v>0.61</v>
      </c>
      <c r="C208" s="79">
        <f t="shared" si="5"/>
        <v>0.274</v>
      </c>
      <c r="D208" s="113">
        <v>0</v>
      </c>
      <c r="E208" s="80">
        <v>0</v>
      </c>
      <c r="F208" s="81">
        <v>0</v>
      </c>
      <c r="G208" s="81">
        <v>0.4</v>
      </c>
    </row>
    <row r="209" spans="1:7">
      <c r="A209" s="535" t="s">
        <v>177</v>
      </c>
      <c r="B209" s="307">
        <v>0.93</v>
      </c>
      <c r="C209" s="79">
        <f t="shared" si="5"/>
        <v>0.61</v>
      </c>
      <c r="D209" s="113">
        <v>0</v>
      </c>
      <c r="E209" s="80">
        <v>0</v>
      </c>
      <c r="F209" s="81">
        <v>0</v>
      </c>
      <c r="G209" s="81">
        <v>0.4</v>
      </c>
    </row>
    <row r="210" spans="1:7">
      <c r="A210" s="535" t="s">
        <v>178</v>
      </c>
      <c r="B210" s="307">
        <v>1.07</v>
      </c>
      <c r="C210" s="79">
        <f t="shared" si="5"/>
        <v>0.93</v>
      </c>
      <c r="D210" s="113">
        <v>0</v>
      </c>
      <c r="E210" s="80">
        <v>0</v>
      </c>
      <c r="F210" s="81">
        <v>0</v>
      </c>
      <c r="G210" s="81">
        <v>0.4</v>
      </c>
    </row>
    <row r="211" spans="1:7">
      <c r="A211" s="303" t="s">
        <v>179</v>
      </c>
      <c r="B211" s="307">
        <v>1.132</v>
      </c>
      <c r="C211" s="79">
        <f t="shared" si="5"/>
        <v>1.07</v>
      </c>
      <c r="D211" s="113">
        <v>0</v>
      </c>
      <c r="E211" s="80">
        <v>0</v>
      </c>
      <c r="F211" s="81">
        <v>0</v>
      </c>
      <c r="G211" s="81">
        <v>0.4</v>
      </c>
    </row>
    <row r="212" spans="1:7">
      <c r="A212" s="303" t="s">
        <v>180</v>
      </c>
      <c r="B212" s="307">
        <v>1.176</v>
      </c>
      <c r="C212" s="79">
        <f t="shared" si="5"/>
        <v>1.132</v>
      </c>
      <c r="D212" s="113">
        <v>0</v>
      </c>
      <c r="E212" s="80">
        <v>0</v>
      </c>
      <c r="F212" s="81">
        <v>0</v>
      </c>
      <c r="G212" s="81">
        <v>0.4</v>
      </c>
    </row>
    <row r="213" spans="1:7">
      <c r="A213" s="303" t="s">
        <v>181</v>
      </c>
      <c r="B213" s="307">
        <v>1.261</v>
      </c>
      <c r="C213" s="79">
        <f t="shared" si="5"/>
        <v>1.176</v>
      </c>
      <c r="D213" s="113">
        <v>0</v>
      </c>
      <c r="E213" s="80">
        <v>0</v>
      </c>
      <c r="F213" s="81">
        <v>0</v>
      </c>
      <c r="G213" s="81">
        <v>0.4</v>
      </c>
    </row>
    <row r="214" spans="1:7">
      <c r="A214" s="303" t="s">
        <v>182</v>
      </c>
      <c r="B214" s="307">
        <v>1.33</v>
      </c>
      <c r="C214" s="79">
        <f t="shared" si="5"/>
        <v>1.261</v>
      </c>
      <c r="D214" s="113">
        <v>0</v>
      </c>
      <c r="E214" s="80">
        <v>0</v>
      </c>
      <c r="F214" s="81">
        <v>0</v>
      </c>
      <c r="G214" s="81">
        <v>0.4</v>
      </c>
    </row>
    <row r="215" spans="1:7">
      <c r="A215" s="303" t="s">
        <v>183</v>
      </c>
      <c r="B215" s="307">
        <v>1.383</v>
      </c>
      <c r="C215" s="79">
        <f t="shared" si="5"/>
        <v>1.33</v>
      </c>
      <c r="D215" s="113">
        <v>0</v>
      </c>
      <c r="E215" s="80">
        <v>0</v>
      </c>
      <c r="F215" s="81">
        <v>0</v>
      </c>
      <c r="G215" s="81">
        <v>0.4</v>
      </c>
    </row>
    <row r="216" spans="1:7">
      <c r="A216" s="303" t="s">
        <v>184</v>
      </c>
      <c r="B216" s="307">
        <v>1.47</v>
      </c>
      <c r="C216" s="79">
        <f t="shared" si="5"/>
        <v>1.383</v>
      </c>
      <c r="D216" s="113">
        <v>0</v>
      </c>
      <c r="E216" s="80">
        <v>0</v>
      </c>
      <c r="F216" s="81">
        <v>0</v>
      </c>
      <c r="G216" s="81">
        <v>0.4</v>
      </c>
    </row>
    <row r="217" spans="1:7">
      <c r="A217" s="303" t="s">
        <v>185</v>
      </c>
      <c r="B217" s="307">
        <v>1.525</v>
      </c>
      <c r="C217" s="79">
        <f t="shared" si="5"/>
        <v>1.47</v>
      </c>
      <c r="D217" s="113">
        <v>0</v>
      </c>
      <c r="E217" s="80">
        <v>0</v>
      </c>
      <c r="F217" s="81">
        <v>0</v>
      </c>
      <c r="G217" s="81">
        <v>0.4</v>
      </c>
    </row>
    <row r="218" spans="1:7">
      <c r="A218" s="303" t="s">
        <v>186</v>
      </c>
      <c r="B218" s="307">
        <v>1.593</v>
      </c>
      <c r="C218" s="79">
        <f t="shared" si="5"/>
        <v>1.525</v>
      </c>
      <c r="D218" s="113">
        <v>0</v>
      </c>
      <c r="E218" s="80">
        <v>0</v>
      </c>
      <c r="F218" s="81">
        <v>0</v>
      </c>
      <c r="G218" s="81">
        <v>0.4</v>
      </c>
    </row>
    <row r="219" spans="1:7">
      <c r="A219" s="303" t="s">
        <v>187</v>
      </c>
      <c r="B219" s="307">
        <v>1.718</v>
      </c>
      <c r="C219" s="79">
        <f t="shared" si="5"/>
        <v>1.593</v>
      </c>
      <c r="D219" s="113">
        <v>0</v>
      </c>
      <c r="E219" s="80">
        <v>0</v>
      </c>
      <c r="F219" s="81">
        <v>0</v>
      </c>
      <c r="G219" s="81">
        <v>0.4</v>
      </c>
    </row>
    <row r="220" spans="1:7">
      <c r="A220" s="303" t="s">
        <v>188</v>
      </c>
      <c r="B220" s="307">
        <v>1.81</v>
      </c>
      <c r="C220" s="79">
        <f t="shared" si="5"/>
        <v>1.718</v>
      </c>
      <c r="D220" s="113">
        <v>0</v>
      </c>
      <c r="E220" s="80">
        <v>0</v>
      </c>
      <c r="F220" s="81">
        <v>0</v>
      </c>
      <c r="G220" s="81">
        <v>0.4</v>
      </c>
    </row>
    <row r="221" spans="1:7">
      <c r="A221" s="303" t="s">
        <v>189</v>
      </c>
      <c r="B221" s="307">
        <v>1.945</v>
      </c>
      <c r="C221" s="79">
        <f t="shared" si="5"/>
        <v>1.81</v>
      </c>
      <c r="D221" s="113">
        <v>0</v>
      </c>
      <c r="E221" s="80">
        <v>0</v>
      </c>
      <c r="F221" s="81">
        <v>0</v>
      </c>
      <c r="G221" s="81">
        <v>0.4</v>
      </c>
    </row>
    <row r="222" spans="1:7">
      <c r="A222" s="303" t="s">
        <v>190</v>
      </c>
      <c r="B222" s="307">
        <v>2.04</v>
      </c>
      <c r="C222" s="79">
        <f t="shared" si="5"/>
        <v>1.945</v>
      </c>
      <c r="D222" s="113">
        <v>0</v>
      </c>
      <c r="E222" s="80">
        <v>0</v>
      </c>
      <c r="F222" s="81">
        <v>0</v>
      </c>
      <c r="G222" s="81">
        <v>0.4</v>
      </c>
    </row>
    <row r="223" spans="1:7">
      <c r="A223" s="303" t="s">
        <v>191</v>
      </c>
      <c r="B223" s="307">
        <v>2.172</v>
      </c>
      <c r="C223" s="79">
        <f t="shared" si="5"/>
        <v>2.04</v>
      </c>
      <c r="D223" s="113">
        <v>0</v>
      </c>
      <c r="E223" s="80">
        <v>0</v>
      </c>
      <c r="F223" s="81">
        <v>0.000707182320442001</v>
      </c>
      <c r="G223" s="81">
        <v>0.4</v>
      </c>
    </row>
    <row r="224" spans="1:7">
      <c r="A224" s="303" t="s">
        <v>192</v>
      </c>
      <c r="B224" s="307">
        <v>2.38</v>
      </c>
      <c r="C224" s="79">
        <f t="shared" si="5"/>
        <v>2.172</v>
      </c>
      <c r="D224" s="113">
        <v>0</v>
      </c>
      <c r="E224" s="80">
        <v>0</v>
      </c>
      <c r="F224" s="81">
        <v>0.00938487394957983</v>
      </c>
      <c r="G224" s="81">
        <v>0.4</v>
      </c>
    </row>
    <row r="225" spans="1:7">
      <c r="A225" s="303" t="s">
        <v>193</v>
      </c>
      <c r="B225" s="307">
        <v>2.375</v>
      </c>
      <c r="C225" s="79">
        <f t="shared" si="5"/>
        <v>2.38</v>
      </c>
      <c r="D225" s="113">
        <v>0</v>
      </c>
      <c r="E225" s="80">
        <v>0</v>
      </c>
      <c r="F225" s="81">
        <v>0.0091941052631579</v>
      </c>
      <c r="G225" s="81">
        <v>0.4</v>
      </c>
    </row>
    <row r="226" spans="1:7">
      <c r="A226" s="303" t="s">
        <v>194</v>
      </c>
      <c r="B226" s="307">
        <v>2.5</v>
      </c>
      <c r="C226" s="79">
        <f t="shared" si="5"/>
        <v>2.375</v>
      </c>
      <c r="D226" s="113">
        <v>0</v>
      </c>
      <c r="E226" s="80">
        <v>0</v>
      </c>
      <c r="F226" s="81">
        <v>0.0137344</v>
      </c>
      <c r="G226" s="81">
        <v>0.4</v>
      </c>
    </row>
    <row r="227" spans="1:7">
      <c r="A227" s="303" t="s">
        <v>195</v>
      </c>
      <c r="B227" s="307">
        <v>2.66</v>
      </c>
      <c r="C227" s="79">
        <f t="shared" si="5"/>
        <v>2.5</v>
      </c>
      <c r="D227" s="113">
        <v>0.00865225563909791</v>
      </c>
      <c r="E227" s="80"/>
      <c r="F227" s="81"/>
      <c r="G227" s="81"/>
    </row>
    <row r="228" spans="1:7">
      <c r="A228" s="303" t="s">
        <v>196</v>
      </c>
      <c r="B228" s="307">
        <v>2.839</v>
      </c>
      <c r="C228" s="79">
        <f t="shared" si="5"/>
        <v>2.66</v>
      </c>
      <c r="D228" s="113">
        <v>0.0711570975695668</v>
      </c>
      <c r="E228" s="80"/>
      <c r="F228" s="81"/>
      <c r="G228" s="81"/>
    </row>
    <row r="229" spans="1:7">
      <c r="A229" s="303" t="s">
        <v>197</v>
      </c>
      <c r="B229" s="307">
        <v>2.999</v>
      </c>
      <c r="C229" s="79">
        <f t="shared" si="5"/>
        <v>2.839</v>
      </c>
      <c r="D229" s="113">
        <v>0.120711903967989</v>
      </c>
      <c r="E229" s="80">
        <v>0.0120711903967989</v>
      </c>
      <c r="F229" s="81">
        <v>0.0280880293431144</v>
      </c>
      <c r="G229" s="81">
        <v>0.4</v>
      </c>
    </row>
    <row r="230" spans="1:7">
      <c r="A230" s="303" t="s">
        <v>198</v>
      </c>
      <c r="B230" s="307">
        <v>3.29</v>
      </c>
      <c r="C230" s="79">
        <f t="shared" si="5"/>
        <v>2.999</v>
      </c>
      <c r="D230" s="113">
        <v>0.198484802431611</v>
      </c>
      <c r="E230" s="80">
        <v>0.0198484802431611</v>
      </c>
      <c r="F230" s="81">
        <v>0.034448632218845</v>
      </c>
      <c r="G230" s="81">
        <v>0.4</v>
      </c>
    </row>
    <row r="231" spans="1:7">
      <c r="A231" s="303" t="s">
        <v>199</v>
      </c>
      <c r="B231" s="307">
        <v>3.525</v>
      </c>
      <c r="C231" s="79">
        <f t="shared" si="5"/>
        <v>3.29</v>
      </c>
      <c r="D231" s="113">
        <v>0.25191914893617</v>
      </c>
      <c r="E231" s="80">
        <v>0.025191914893617</v>
      </c>
      <c r="F231" s="81">
        <v>0.0388187234042553</v>
      </c>
      <c r="G231" s="81">
        <v>0.4</v>
      </c>
    </row>
    <row r="232" spans="1:7">
      <c r="A232" s="303" t="s">
        <v>200</v>
      </c>
      <c r="B232" s="307">
        <v>3.74</v>
      </c>
      <c r="C232" s="79">
        <f t="shared" si="5"/>
        <v>3.525</v>
      </c>
      <c r="D232" s="113">
        <v>0.294923796791444</v>
      </c>
      <c r="E232" s="80">
        <v>0.0294923796791444</v>
      </c>
      <c r="F232" s="81">
        <v>0.0540149732620321</v>
      </c>
      <c r="G232" s="81">
        <v>0.4</v>
      </c>
    </row>
    <row r="233" spans="1:7">
      <c r="A233" s="303" t="s">
        <v>201</v>
      </c>
      <c r="B233" s="307">
        <v>3.933</v>
      </c>
      <c r="C233" s="79">
        <f t="shared" si="5"/>
        <v>3.74</v>
      </c>
      <c r="D233" s="113">
        <v>0.329523264683448</v>
      </c>
      <c r="E233" s="80">
        <v>0.0329523264683448</v>
      </c>
      <c r="F233" s="81">
        <v>0.0709931350114417</v>
      </c>
      <c r="G233" s="81">
        <v>0.4</v>
      </c>
    </row>
    <row r="234" spans="1:7">
      <c r="A234" s="303" t="s">
        <v>202</v>
      </c>
      <c r="B234" s="307">
        <v>4.231</v>
      </c>
      <c r="C234" s="79">
        <f t="shared" si="5"/>
        <v>3.933</v>
      </c>
      <c r="D234" s="113">
        <v>0.376746632001891</v>
      </c>
      <c r="E234" s="80">
        <v>0.0376746632001891</v>
      </c>
      <c r="F234" s="81">
        <v>0.0941659182226424</v>
      </c>
      <c r="G234" s="81">
        <v>0.4</v>
      </c>
    </row>
    <row r="235" spans="1:7">
      <c r="A235" s="303" t="s">
        <v>203</v>
      </c>
      <c r="B235" s="307">
        <v>4.501</v>
      </c>
      <c r="C235" s="79">
        <f t="shared" si="5"/>
        <v>4.231</v>
      </c>
      <c r="D235" s="113">
        <v>0.414133525883137</v>
      </c>
      <c r="E235" s="80">
        <v>0.0484801155298823</v>
      </c>
      <c r="F235" s="81">
        <v>0.112511886247501</v>
      </c>
      <c r="G235" s="81">
        <v>0.4</v>
      </c>
    </row>
    <row r="236" spans="1:7">
      <c r="A236" s="303" t="s">
        <v>204</v>
      </c>
      <c r="B236" s="307">
        <v>4.9</v>
      </c>
      <c r="C236" s="79">
        <f t="shared" si="5"/>
        <v>4.501</v>
      </c>
      <c r="D236" s="113">
        <v>0.461839795918367</v>
      </c>
      <c r="E236" s="80">
        <v>0.0771038775510205</v>
      </c>
      <c r="F236" s="81">
        <v>0.135921632653061</v>
      </c>
      <c r="G236" s="81">
        <v>0.4</v>
      </c>
    </row>
    <row r="237" spans="1:7">
      <c r="A237" s="303" t="s">
        <v>205</v>
      </c>
      <c r="B237" s="307">
        <v>5.235</v>
      </c>
      <c r="C237" s="79">
        <f t="shared" si="5"/>
        <v>4.9</v>
      </c>
      <c r="D237" s="113">
        <v>0.496277936962751</v>
      </c>
      <c r="E237" s="80">
        <v>0.0977667621776505</v>
      </c>
      <c r="F237" s="81">
        <v>0.152820630372493</v>
      </c>
      <c r="G237" s="81">
        <v>0.4</v>
      </c>
    </row>
    <row r="238" spans="1:7">
      <c r="A238" s="303" t="s">
        <v>206</v>
      </c>
      <c r="B238" s="307">
        <v>5.71</v>
      </c>
      <c r="C238" s="79">
        <f t="shared" si="5"/>
        <v>5.235</v>
      </c>
      <c r="D238" s="113">
        <v>0.538181260945709</v>
      </c>
      <c r="E238" s="80">
        <v>0.122908756567426</v>
      </c>
      <c r="F238" s="81">
        <v>0.173382837127846</v>
      </c>
      <c r="G238" s="81">
        <v>0.4</v>
      </c>
    </row>
    <row r="239" spans="1:7">
      <c r="A239" s="303" t="s">
        <v>207</v>
      </c>
      <c r="B239" s="307">
        <v>6.174</v>
      </c>
      <c r="C239" s="79">
        <f t="shared" si="5"/>
        <v>5.71</v>
      </c>
      <c r="D239" s="113">
        <v>0.572888726919339</v>
      </c>
      <c r="E239" s="80">
        <v>0.143733236151604</v>
      </c>
      <c r="F239" s="81">
        <v>0.190413994169096</v>
      </c>
      <c r="G239" s="81">
        <v>0.4</v>
      </c>
    </row>
    <row r="240" spans="1:7">
      <c r="A240" s="303" t="s">
        <v>208</v>
      </c>
      <c r="B240" s="307">
        <v>6.67</v>
      </c>
      <c r="C240" s="79">
        <f t="shared" si="5"/>
        <v>6.174</v>
      </c>
      <c r="D240" s="113">
        <v>0.604649925037481</v>
      </c>
      <c r="E240" s="80">
        <v>0.162789955022489</v>
      </c>
      <c r="F240" s="81">
        <v>0.20599940029985</v>
      </c>
      <c r="G240" s="81">
        <v>0.4</v>
      </c>
    </row>
    <row r="241" spans="1:7">
      <c r="A241" s="303" t="s">
        <v>209</v>
      </c>
      <c r="B241" s="307">
        <v>6.95</v>
      </c>
      <c r="C241" s="79">
        <f t="shared" si="5"/>
        <v>6.67</v>
      </c>
      <c r="D241" s="113">
        <v>0.620577697841727</v>
      </c>
      <c r="E241" s="80">
        <v>0.172346618705036</v>
      </c>
      <c r="F241" s="81">
        <v>0.213815251798561</v>
      </c>
      <c r="G241" s="81">
        <v>0.4</v>
      </c>
    </row>
    <row r="242" spans="1:7">
      <c r="A242" s="303" t="s">
        <v>210</v>
      </c>
      <c r="B242" s="307">
        <v>7.41</v>
      </c>
      <c r="C242" s="79">
        <f t="shared" si="5"/>
        <v>6.95</v>
      </c>
      <c r="D242" s="113">
        <v>0.644131578947368</v>
      </c>
      <c r="E242" s="80">
        <v>0.186478947368421</v>
      </c>
      <c r="F242" s="81">
        <v>0.225373279352227</v>
      </c>
      <c r="G242" s="81">
        <v>0.4</v>
      </c>
    </row>
    <row r="243" spans="1:7">
      <c r="A243" s="303" t="s">
        <v>211</v>
      </c>
      <c r="B243" s="307">
        <v>8.824</v>
      </c>
      <c r="C243" s="79">
        <f t="shared" si="5"/>
        <v>7.41</v>
      </c>
      <c r="D243" s="113">
        <v>0.701157638259293</v>
      </c>
      <c r="E243" s="80">
        <v>0.220694582955576</v>
      </c>
      <c r="F243" s="81">
        <v>0.25335630099728</v>
      </c>
      <c r="G243" s="81">
        <v>0.4</v>
      </c>
    </row>
    <row r="244" spans="1:7">
      <c r="A244" s="303" t="s">
        <v>212</v>
      </c>
      <c r="B244" s="307">
        <v>10.12</v>
      </c>
      <c r="C244" s="79">
        <f t="shared" si="5"/>
        <v>8.824</v>
      </c>
      <c r="D244" s="113">
        <v>0.739428359683795</v>
      </c>
      <c r="E244" s="80">
        <v>0.243657015810277</v>
      </c>
      <c r="F244" s="81">
        <v>0.272135968379447</v>
      </c>
      <c r="G244" s="81">
        <v>0.4</v>
      </c>
    </row>
    <row r="245" spans="1:7">
      <c r="A245" s="303" t="s">
        <v>213</v>
      </c>
      <c r="B245" s="307">
        <v>10.991</v>
      </c>
      <c r="C245" s="79">
        <f t="shared" si="5"/>
        <v>10.12</v>
      </c>
      <c r="D245" s="113">
        <v>0.760077790919844</v>
      </c>
      <c r="E245" s="80">
        <v>0.256046674551906</v>
      </c>
      <c r="F245" s="81">
        <v>0.282268765353471</v>
      </c>
      <c r="G245" s="81">
        <v>0.4</v>
      </c>
    </row>
    <row r="246" spans="1:7">
      <c r="A246" s="303" t="s">
        <v>214</v>
      </c>
      <c r="B246" s="307">
        <v>12.54</v>
      </c>
      <c r="C246" s="79">
        <f t="shared" si="5"/>
        <v>10.991</v>
      </c>
      <c r="D246" s="113">
        <v>0.789714114832536</v>
      </c>
      <c r="E246" s="80">
        <v>0.273828468899522</v>
      </c>
      <c r="F246" s="81">
        <v>0.296811483253589</v>
      </c>
      <c r="G246" s="81">
        <v>0.4</v>
      </c>
    </row>
    <row r="247" spans="1:7">
      <c r="A247" s="303" t="s">
        <v>215</v>
      </c>
      <c r="B247" s="307">
        <v>13.777</v>
      </c>
      <c r="C247" s="79">
        <f t="shared" si="5"/>
        <v>12.54</v>
      </c>
      <c r="D247" s="113">
        <v>0.808595122305292</v>
      </c>
      <c r="E247" s="80">
        <v>0.285157073383175</v>
      </c>
      <c r="F247" s="81">
        <v>0.306076504318792</v>
      </c>
      <c r="G247" s="81">
        <v>0.4</v>
      </c>
    </row>
    <row r="248" spans="1:7">
      <c r="A248" s="303" t="s">
        <v>216</v>
      </c>
      <c r="B248" s="307">
        <v>14.97</v>
      </c>
      <c r="C248" s="79">
        <f t="shared" si="5"/>
        <v>13.777</v>
      </c>
      <c r="D248" s="113">
        <v>0.82384869739479</v>
      </c>
      <c r="E248" s="80">
        <v>0.294309218436874</v>
      </c>
      <c r="F248" s="81">
        <v>0.313561523046092</v>
      </c>
      <c r="G248" s="81">
        <v>0.4</v>
      </c>
    </row>
    <row r="249" spans="1:7">
      <c r="A249" s="303" t="s">
        <v>217</v>
      </c>
      <c r="B249" s="307">
        <v>17.113</v>
      </c>
      <c r="C249" s="79">
        <f t="shared" si="5"/>
        <v>14.97</v>
      </c>
      <c r="D249" s="113">
        <v>0.845907497224332</v>
      </c>
      <c r="E249" s="80">
        <v>0.307544498334599</v>
      </c>
      <c r="F249" s="81">
        <v>0.324385905451996</v>
      </c>
      <c r="G249" s="81">
        <v>0.4</v>
      </c>
    </row>
    <row r="250" spans="1:7">
      <c r="A250" s="303" t="s">
        <v>218</v>
      </c>
      <c r="B250" s="307">
        <v>20.39</v>
      </c>
      <c r="C250" s="79">
        <f t="shared" si="5"/>
        <v>17.113</v>
      </c>
      <c r="D250" s="113">
        <v>0.870672633643943</v>
      </c>
      <c r="E250" s="80">
        <v>0.322403580186366</v>
      </c>
      <c r="F250" s="81">
        <v>0.33653830308975</v>
      </c>
      <c r="G250" s="81">
        <v>0.4</v>
      </c>
    </row>
    <row r="251" spans="1:7">
      <c r="A251" s="303" t="s">
        <v>219</v>
      </c>
      <c r="B251" s="307">
        <v>24.02</v>
      </c>
      <c r="C251" s="79">
        <f t="shared" si="5"/>
        <v>20.39</v>
      </c>
      <c r="D251" s="113">
        <v>0.890217110741049</v>
      </c>
      <c r="E251" s="80">
        <v>0.33413026644463</v>
      </c>
      <c r="F251" s="81">
        <v>0.346128892589509</v>
      </c>
      <c r="G251" s="81">
        <v>0.4</v>
      </c>
    </row>
    <row r="252" spans="1:7">
      <c r="A252" s="303" t="s">
        <v>220</v>
      </c>
      <c r="B252" s="307">
        <v>31.26</v>
      </c>
      <c r="C252" s="79">
        <f t="shared" si="5"/>
        <v>24.02</v>
      </c>
      <c r="D252" s="113">
        <v>0.915643474088292</v>
      </c>
      <c r="E252" s="80">
        <v>0.349386084452975</v>
      </c>
      <c r="F252" s="81">
        <v>0.35860575815739</v>
      </c>
      <c r="G252" s="81">
        <v>0.4</v>
      </c>
    </row>
    <row r="253" spans="1:7">
      <c r="A253" s="303" t="s">
        <v>221</v>
      </c>
      <c r="B253" s="307">
        <v>44.534</v>
      </c>
      <c r="C253" s="79">
        <f t="shared" si="5"/>
        <v>31.26</v>
      </c>
      <c r="D253" s="113">
        <v>0.940787151389949</v>
      </c>
      <c r="E253" s="80">
        <v>0.36447229083397</v>
      </c>
      <c r="F253" s="81">
        <v>0.370943908025329</v>
      </c>
      <c r="G253" s="81">
        <v>0.4</v>
      </c>
    </row>
    <row r="254" spans="1:7">
      <c r="A254" s="303" t="s">
        <v>221</v>
      </c>
      <c r="B254" s="308" t="s">
        <v>373</v>
      </c>
      <c r="C254" s="79">
        <f t="shared" si="5"/>
        <v>44.534</v>
      </c>
      <c r="D254" s="309"/>
      <c r="E254" s="83"/>
      <c r="F254" s="84"/>
      <c r="G254" s="84"/>
    </row>
    <row r="255" spans="1:7">
      <c r="A255" s="78"/>
      <c r="B255" s="310"/>
      <c r="C255" s="78"/>
      <c r="D255" s="117"/>
      <c r="E255" s="85">
        <v>0.0885689982713104</v>
      </c>
      <c r="F255" s="86">
        <v>0.105351214592395</v>
      </c>
      <c r="G255" s="86">
        <v>0.4</v>
      </c>
    </row>
    <row r="256" ht="48.75" spans="1:7">
      <c r="A256" s="87" t="s">
        <v>233</v>
      </c>
      <c r="B256" s="257"/>
      <c r="C256" s="78"/>
      <c r="D256" s="117"/>
      <c r="E256" s="127">
        <v>4.394975</v>
      </c>
      <c r="F256" s="128">
        <v>3.5944</v>
      </c>
      <c r="G256" s="129">
        <v>0</v>
      </c>
    </row>
    <row r="257" ht="48.75" spans="1:7">
      <c r="A257" s="87" t="s">
        <v>224</v>
      </c>
      <c r="B257" s="116">
        <v>8.79</v>
      </c>
      <c r="C257" s="78"/>
      <c r="D257" s="83"/>
      <c r="E257" s="83"/>
      <c r="F257" s="84"/>
      <c r="G257" s="84"/>
    </row>
    <row r="258" ht="84.75" spans="1:7">
      <c r="A258" s="106" t="s">
        <v>225</v>
      </c>
      <c r="B258" s="116">
        <v>5.274</v>
      </c>
      <c r="C258" s="78"/>
      <c r="D258" s="83"/>
      <c r="E258" s="83">
        <v>2.636985</v>
      </c>
      <c r="F258" s="84">
        <v>2.15664</v>
      </c>
      <c r="G258" s="84">
        <v>0</v>
      </c>
    </row>
    <row r="261" spans="1:3">
      <c r="A261" s="531" t="s">
        <v>226</v>
      </c>
      <c r="B261" s="95">
        <f>AVERAGE(B209:B248)</f>
        <v>4.394975</v>
      </c>
      <c r="C261" s="95"/>
    </row>
    <row r="262" spans="1:3">
      <c r="A262" s="531" t="s">
        <v>227</v>
      </c>
      <c r="B262" s="96">
        <f>AVERAGE(B214:B243)</f>
        <v>3.5944</v>
      </c>
      <c r="C262" s="96"/>
    </row>
    <row r="263" spans="1:3">
      <c r="A263" s="531" t="s">
        <v>228</v>
      </c>
      <c r="B263" s="96">
        <f>AVERAGE(B220:B238)</f>
        <v>3.30447368421053</v>
      </c>
      <c r="C263" s="96"/>
    </row>
    <row r="265" ht="15.75"/>
    <row r="266" customHeight="1" spans="1:7">
      <c r="A266" s="252" t="s">
        <v>165</v>
      </c>
      <c r="B266" s="268" t="s">
        <v>363</v>
      </c>
      <c r="C266" s="269"/>
      <c r="D266" s="270"/>
      <c r="E266" s="70" t="e">
        <f>(1-E321)^(1/3)-1</f>
        <v>#DIV/0!</v>
      </c>
      <c r="F266" s="70" t="e">
        <f>(1-F321)^(1/3)-1</f>
        <v>#DIV/0!</v>
      </c>
      <c r="G266" s="70"/>
    </row>
    <row r="267" ht="72.75" spans="1:7">
      <c r="A267" s="253"/>
      <c r="B267" s="83" t="s">
        <v>167</v>
      </c>
      <c r="C267" s="130"/>
      <c r="D267" s="83" t="s">
        <v>168</v>
      </c>
      <c r="E267" s="83" t="s">
        <v>169</v>
      </c>
      <c r="F267" s="84" t="s">
        <v>169</v>
      </c>
      <c r="G267" s="84"/>
    </row>
    <row r="268" ht="24.75" spans="1:7">
      <c r="A268" s="254"/>
      <c r="B268" s="257" t="s">
        <v>364</v>
      </c>
      <c r="D268" s="271" t="s">
        <v>171</v>
      </c>
      <c r="E268" s="271" t="s">
        <v>171</v>
      </c>
      <c r="F268" s="271" t="s">
        <v>171</v>
      </c>
      <c r="G268" s="271"/>
    </row>
    <row r="269" ht="15.75" spans="1:7">
      <c r="A269" s="75">
        <v>1</v>
      </c>
      <c r="B269" s="76">
        <v>2</v>
      </c>
      <c r="D269" s="76">
        <v>3</v>
      </c>
      <c r="E269" s="76">
        <v>4</v>
      </c>
      <c r="F269" s="77">
        <v>5</v>
      </c>
      <c r="G269" s="77"/>
    </row>
    <row r="270" ht="15.75" spans="1:7">
      <c r="A270" s="533" t="s">
        <v>172</v>
      </c>
      <c r="B270" s="272"/>
      <c r="C270">
        <v>0</v>
      </c>
      <c r="D270" s="80">
        <f t="shared" ref="D270:D301" si="6">IF(B270=0,0,IF(B270&lt;=E$324,0,B270-E$324)/B270)</f>
        <v>0</v>
      </c>
      <c r="E270" s="80"/>
      <c r="F270" s="81"/>
      <c r="G270" s="81"/>
    </row>
    <row r="271" ht="15.75" spans="1:7">
      <c r="A271" s="533" t="s">
        <v>173</v>
      </c>
      <c r="B271" s="74"/>
      <c r="C271" s="79">
        <f>B270</f>
        <v>0</v>
      </c>
      <c r="D271" s="80">
        <f t="shared" si="6"/>
        <v>0</v>
      </c>
      <c r="E271" s="80"/>
      <c r="F271" s="81"/>
      <c r="G271" s="81"/>
    </row>
    <row r="272" ht="15.75" spans="1:7">
      <c r="A272" s="533" t="s">
        <v>174</v>
      </c>
      <c r="B272" s="74"/>
      <c r="C272" s="79">
        <f t="shared" ref="C272:C320" si="7">B271</f>
        <v>0</v>
      </c>
      <c r="D272" s="80">
        <f t="shared" si="6"/>
        <v>0</v>
      </c>
      <c r="E272" s="80"/>
      <c r="F272" s="81"/>
      <c r="G272" s="81"/>
    </row>
    <row r="273" ht="15.75" spans="1:7">
      <c r="A273" s="533" t="s">
        <v>175</v>
      </c>
      <c r="B273" s="74"/>
      <c r="C273" s="79">
        <f t="shared" si="7"/>
        <v>0</v>
      </c>
      <c r="D273" s="80">
        <f t="shared" si="6"/>
        <v>0</v>
      </c>
      <c r="E273" s="80"/>
      <c r="F273" s="81"/>
      <c r="G273" s="81"/>
    </row>
    <row r="274" ht="15.75" spans="1:7">
      <c r="A274" s="533" t="s">
        <v>176</v>
      </c>
      <c r="B274" s="74"/>
      <c r="C274" s="79">
        <f t="shared" si="7"/>
        <v>0</v>
      </c>
      <c r="D274" s="80">
        <f t="shared" si="6"/>
        <v>0</v>
      </c>
      <c r="E274" s="80"/>
      <c r="F274" s="81"/>
      <c r="G274" s="81"/>
    </row>
    <row r="275" ht="15.75" spans="1:7">
      <c r="A275" s="533" t="s">
        <v>177</v>
      </c>
      <c r="B275" s="74"/>
      <c r="C275" s="79">
        <f t="shared" si="7"/>
        <v>0</v>
      </c>
      <c r="D275" s="80">
        <f t="shared" si="6"/>
        <v>0</v>
      </c>
      <c r="E275" s="80"/>
      <c r="F275" s="81"/>
      <c r="G275" s="81"/>
    </row>
    <row r="276" ht="15.75" spans="1:7">
      <c r="A276" s="533" t="s">
        <v>178</v>
      </c>
      <c r="B276" s="74"/>
      <c r="C276" s="79">
        <f t="shared" si="7"/>
        <v>0</v>
      </c>
      <c r="D276" s="80">
        <f t="shared" si="6"/>
        <v>0</v>
      </c>
      <c r="E276" s="80"/>
      <c r="F276" s="81"/>
      <c r="G276" s="81"/>
    </row>
    <row r="277" ht="15.75" spans="1:7">
      <c r="A277" s="257" t="s">
        <v>179</v>
      </c>
      <c r="B277" s="74"/>
      <c r="C277" s="79">
        <f t="shared" si="7"/>
        <v>0</v>
      </c>
      <c r="D277" s="80">
        <f t="shared" si="6"/>
        <v>0</v>
      </c>
      <c r="E277" s="80"/>
      <c r="F277" s="81"/>
      <c r="G277" s="81"/>
    </row>
    <row r="278" ht="15.75" spans="1:7">
      <c r="A278" s="257" t="s">
        <v>180</v>
      </c>
      <c r="B278" s="74"/>
      <c r="C278" s="79">
        <f t="shared" si="7"/>
        <v>0</v>
      </c>
      <c r="D278" s="80">
        <f t="shared" si="6"/>
        <v>0</v>
      </c>
      <c r="E278" s="80"/>
      <c r="F278" s="81"/>
      <c r="G278" s="81"/>
    </row>
    <row r="279" ht="15.75" spans="1:7">
      <c r="A279" s="257" t="s">
        <v>181</v>
      </c>
      <c r="B279" s="74"/>
      <c r="C279" s="79">
        <f t="shared" si="7"/>
        <v>0</v>
      </c>
      <c r="D279" s="80">
        <f t="shared" si="6"/>
        <v>0</v>
      </c>
      <c r="E279" s="80"/>
      <c r="F279" s="81"/>
      <c r="G279" s="81"/>
    </row>
    <row r="280" ht="15.75" spans="1:7">
      <c r="A280" s="257" t="s">
        <v>182</v>
      </c>
      <c r="B280" s="74"/>
      <c r="C280" s="79">
        <f t="shared" si="7"/>
        <v>0</v>
      </c>
      <c r="D280" s="80">
        <f t="shared" si="6"/>
        <v>0</v>
      </c>
      <c r="E280" s="80"/>
      <c r="F280" s="81"/>
      <c r="G280" s="81"/>
    </row>
    <row r="281" ht="15.75" spans="1:7">
      <c r="A281" s="257" t="s">
        <v>183</v>
      </c>
      <c r="B281" s="74"/>
      <c r="C281" s="79">
        <f t="shared" si="7"/>
        <v>0</v>
      </c>
      <c r="D281" s="80">
        <f t="shared" si="6"/>
        <v>0</v>
      </c>
      <c r="E281" s="80"/>
      <c r="F281" s="81"/>
      <c r="G281" s="81"/>
    </row>
    <row r="282" ht="15.75" spans="1:7">
      <c r="A282" s="257" t="s">
        <v>184</v>
      </c>
      <c r="B282" s="74"/>
      <c r="C282" s="79">
        <f t="shared" si="7"/>
        <v>0</v>
      </c>
      <c r="D282" s="80">
        <f t="shared" si="6"/>
        <v>0</v>
      </c>
      <c r="E282" s="80"/>
      <c r="F282" s="81"/>
      <c r="G282" s="81"/>
    </row>
    <row r="283" ht="15.75" spans="1:7">
      <c r="A283" s="257" t="s">
        <v>185</v>
      </c>
      <c r="B283" s="74"/>
      <c r="C283" s="79">
        <f t="shared" si="7"/>
        <v>0</v>
      </c>
      <c r="D283" s="80">
        <f t="shared" si="6"/>
        <v>0</v>
      </c>
      <c r="E283" s="80"/>
      <c r="F283" s="81"/>
      <c r="G283" s="81"/>
    </row>
    <row r="284" ht="15.75" spans="1:7">
      <c r="A284" s="257" t="s">
        <v>186</v>
      </c>
      <c r="B284" s="74"/>
      <c r="C284" s="79">
        <f t="shared" si="7"/>
        <v>0</v>
      </c>
      <c r="D284" s="80">
        <f t="shared" si="6"/>
        <v>0</v>
      </c>
      <c r="E284" s="80"/>
      <c r="F284" s="81"/>
      <c r="G284" s="81"/>
    </row>
    <row r="285" ht="15.75" spans="1:7">
      <c r="A285" s="257" t="s">
        <v>187</v>
      </c>
      <c r="B285" s="74"/>
      <c r="C285" s="79">
        <f t="shared" si="7"/>
        <v>0</v>
      </c>
      <c r="D285" s="80">
        <f t="shared" si="6"/>
        <v>0</v>
      </c>
      <c r="E285" s="80"/>
      <c r="F285" s="81"/>
      <c r="G285" s="81"/>
    </row>
    <row r="286" ht="15.75" spans="1:7">
      <c r="A286" s="257" t="s">
        <v>188</v>
      </c>
      <c r="B286" s="74"/>
      <c r="C286" s="79">
        <f t="shared" si="7"/>
        <v>0</v>
      </c>
      <c r="D286" s="80">
        <f t="shared" si="6"/>
        <v>0</v>
      </c>
      <c r="E286" s="80"/>
      <c r="F286" s="81"/>
      <c r="G286" s="81"/>
    </row>
    <row r="287" ht="15.75" spans="1:7">
      <c r="A287" s="257" t="s">
        <v>189</v>
      </c>
      <c r="B287" s="74"/>
      <c r="C287" s="79">
        <f t="shared" si="7"/>
        <v>0</v>
      </c>
      <c r="D287" s="80">
        <f t="shared" si="6"/>
        <v>0</v>
      </c>
      <c r="E287" s="80"/>
      <c r="F287" s="81"/>
      <c r="G287" s="81"/>
    </row>
    <row r="288" ht="15.75" spans="1:7">
      <c r="A288" s="257" t="s">
        <v>190</v>
      </c>
      <c r="B288" s="74"/>
      <c r="C288" s="79">
        <f t="shared" si="7"/>
        <v>0</v>
      </c>
      <c r="D288" s="80">
        <f t="shared" si="6"/>
        <v>0</v>
      </c>
      <c r="E288" s="80"/>
      <c r="F288" s="81"/>
      <c r="G288" s="81"/>
    </row>
    <row r="289" ht="15.75" spans="1:7">
      <c r="A289" s="257" t="s">
        <v>191</v>
      </c>
      <c r="B289" s="74"/>
      <c r="C289" s="79">
        <f t="shared" si="7"/>
        <v>0</v>
      </c>
      <c r="D289" s="80">
        <f t="shared" si="6"/>
        <v>0</v>
      </c>
      <c r="E289" s="80"/>
      <c r="F289" s="81"/>
      <c r="G289" s="81"/>
    </row>
    <row r="290" ht="15.75" spans="1:7">
      <c r="A290" s="257" t="s">
        <v>192</v>
      </c>
      <c r="B290" s="74"/>
      <c r="C290" s="79">
        <f t="shared" si="7"/>
        <v>0</v>
      </c>
      <c r="D290" s="80">
        <f t="shared" si="6"/>
        <v>0</v>
      </c>
      <c r="E290" s="80"/>
      <c r="F290" s="81"/>
      <c r="G290" s="81"/>
    </row>
    <row r="291" ht="15.75" spans="1:7">
      <c r="A291" s="257" t="s">
        <v>193</v>
      </c>
      <c r="B291" s="74"/>
      <c r="C291" s="79">
        <f t="shared" si="7"/>
        <v>0</v>
      </c>
      <c r="D291" s="80">
        <f t="shared" si="6"/>
        <v>0</v>
      </c>
      <c r="E291" s="80"/>
      <c r="F291" s="81"/>
      <c r="G291" s="81"/>
    </row>
    <row r="292" ht="15.75" spans="1:7">
      <c r="A292" s="257" t="s">
        <v>194</v>
      </c>
      <c r="B292" s="74"/>
      <c r="C292" s="79">
        <f t="shared" si="7"/>
        <v>0</v>
      </c>
      <c r="D292" s="80">
        <f t="shared" si="6"/>
        <v>0</v>
      </c>
      <c r="E292" s="80"/>
      <c r="F292" s="81"/>
      <c r="G292" s="81"/>
    </row>
    <row r="293" ht="15.75" spans="1:7">
      <c r="A293" s="257" t="s">
        <v>195</v>
      </c>
      <c r="B293" s="74"/>
      <c r="C293" s="79">
        <f t="shared" si="7"/>
        <v>0</v>
      </c>
      <c r="D293" s="80">
        <f t="shared" si="6"/>
        <v>0</v>
      </c>
      <c r="E293" s="80"/>
      <c r="F293" s="81"/>
      <c r="G293" s="81"/>
    </row>
    <row r="294" ht="15.75" spans="1:7">
      <c r="A294" s="257" t="s">
        <v>196</v>
      </c>
      <c r="B294" s="74"/>
      <c r="C294" s="79">
        <f t="shared" si="7"/>
        <v>0</v>
      </c>
      <c r="D294" s="80">
        <f t="shared" si="6"/>
        <v>0</v>
      </c>
      <c r="E294" s="80"/>
      <c r="F294" s="81"/>
      <c r="G294" s="81"/>
    </row>
    <row r="295" ht="15.75" spans="1:7">
      <c r="A295" s="257" t="s">
        <v>197</v>
      </c>
      <c r="B295" s="74"/>
      <c r="C295" s="79">
        <f t="shared" si="7"/>
        <v>0</v>
      </c>
      <c r="D295" s="80">
        <f t="shared" si="6"/>
        <v>0</v>
      </c>
      <c r="E295" s="80"/>
      <c r="F295" s="81"/>
      <c r="G295" s="81"/>
    </row>
    <row r="296" ht="15.75" spans="1:7">
      <c r="A296" s="257" t="s">
        <v>198</v>
      </c>
      <c r="B296" s="74"/>
      <c r="C296" s="79">
        <f t="shared" si="7"/>
        <v>0</v>
      </c>
      <c r="D296" s="80">
        <f t="shared" si="6"/>
        <v>0</v>
      </c>
      <c r="E296" s="80"/>
      <c r="F296" s="81"/>
      <c r="G296" s="81"/>
    </row>
    <row r="297" ht="15.75" spans="1:7">
      <c r="A297" s="257" t="s">
        <v>199</v>
      </c>
      <c r="B297" s="74"/>
      <c r="C297" s="79">
        <f t="shared" si="7"/>
        <v>0</v>
      </c>
      <c r="D297" s="80">
        <f t="shared" si="6"/>
        <v>0</v>
      </c>
      <c r="E297" s="80"/>
      <c r="F297" s="81"/>
      <c r="G297" s="81"/>
    </row>
    <row r="298" ht="15.75" spans="1:7">
      <c r="A298" s="257" t="s">
        <v>200</v>
      </c>
      <c r="B298" s="74"/>
      <c r="C298" s="79">
        <f t="shared" si="7"/>
        <v>0</v>
      </c>
      <c r="D298" s="80">
        <f t="shared" si="6"/>
        <v>0</v>
      </c>
      <c r="E298" s="80"/>
      <c r="F298" s="81"/>
      <c r="G298" s="81"/>
    </row>
    <row r="299" ht="15.75" spans="1:7">
      <c r="A299" s="257" t="s">
        <v>201</v>
      </c>
      <c r="B299" s="74"/>
      <c r="C299" s="79">
        <f t="shared" si="7"/>
        <v>0</v>
      </c>
      <c r="D299" s="80">
        <f t="shared" si="6"/>
        <v>0</v>
      </c>
      <c r="E299" s="80"/>
      <c r="F299" s="81"/>
      <c r="G299" s="81"/>
    </row>
    <row r="300" ht="15.75" spans="1:7">
      <c r="A300" s="257" t="s">
        <v>202</v>
      </c>
      <c r="B300" s="74"/>
      <c r="C300" s="79">
        <f t="shared" si="7"/>
        <v>0</v>
      </c>
      <c r="D300" s="80">
        <f t="shared" si="6"/>
        <v>0</v>
      </c>
      <c r="E300" s="80"/>
      <c r="F300" s="81"/>
      <c r="G300" s="81"/>
    </row>
    <row r="301" ht="15.75" spans="1:7">
      <c r="A301" s="257" t="s">
        <v>203</v>
      </c>
      <c r="B301" s="74"/>
      <c r="C301" s="79">
        <f t="shared" si="7"/>
        <v>0</v>
      </c>
      <c r="D301" s="80">
        <f t="shared" si="6"/>
        <v>0</v>
      </c>
      <c r="E301" s="80"/>
      <c r="F301" s="81"/>
      <c r="G301" s="81"/>
    </row>
    <row r="302" ht="15.75" spans="1:7">
      <c r="A302" s="257" t="s">
        <v>204</v>
      </c>
      <c r="B302" s="74"/>
      <c r="C302" s="79">
        <f t="shared" si="7"/>
        <v>0</v>
      </c>
      <c r="D302" s="80">
        <f t="shared" ref="D302:D319" si="8">IF(B302=0,0,IF(B302&lt;=E$324,0,B302-E$324)/B302)</f>
        <v>0</v>
      </c>
      <c r="E302" s="80"/>
      <c r="F302" s="81"/>
      <c r="G302" s="81"/>
    </row>
    <row r="303" ht="15.75" spans="1:7">
      <c r="A303" s="257" t="s">
        <v>205</v>
      </c>
      <c r="B303" s="74"/>
      <c r="C303" s="79">
        <f t="shared" si="7"/>
        <v>0</v>
      </c>
      <c r="D303" s="80">
        <f t="shared" si="8"/>
        <v>0</v>
      </c>
      <c r="E303" s="80"/>
      <c r="F303" s="81"/>
      <c r="G303" s="81"/>
    </row>
    <row r="304" ht="15.75" spans="1:7">
      <c r="A304" s="257" t="s">
        <v>206</v>
      </c>
      <c r="B304" s="74"/>
      <c r="C304" s="79">
        <f t="shared" si="7"/>
        <v>0</v>
      </c>
      <c r="D304" s="80">
        <f t="shared" si="8"/>
        <v>0</v>
      </c>
      <c r="E304" s="80"/>
      <c r="F304" s="81"/>
      <c r="G304" s="81"/>
    </row>
    <row r="305" ht="15.75" spans="1:7">
      <c r="A305" s="257" t="s">
        <v>207</v>
      </c>
      <c r="B305" s="74"/>
      <c r="C305" s="79">
        <f t="shared" si="7"/>
        <v>0</v>
      </c>
      <c r="D305" s="80">
        <f t="shared" si="8"/>
        <v>0</v>
      </c>
      <c r="E305" s="80"/>
      <c r="F305" s="81"/>
      <c r="G305" s="81"/>
    </row>
    <row r="306" ht="15.75" spans="1:7">
      <c r="A306" s="257" t="s">
        <v>208</v>
      </c>
      <c r="B306" s="74"/>
      <c r="C306" s="79">
        <f t="shared" si="7"/>
        <v>0</v>
      </c>
      <c r="D306" s="80">
        <f t="shared" si="8"/>
        <v>0</v>
      </c>
      <c r="E306" s="80"/>
      <c r="F306" s="81"/>
      <c r="G306" s="81"/>
    </row>
    <row r="307" ht="15.75" spans="1:7">
      <c r="A307" s="257" t="s">
        <v>209</v>
      </c>
      <c r="B307" s="74"/>
      <c r="C307" s="79">
        <f t="shared" si="7"/>
        <v>0</v>
      </c>
      <c r="D307" s="80">
        <f t="shared" si="8"/>
        <v>0</v>
      </c>
      <c r="E307" s="80"/>
      <c r="F307" s="81"/>
      <c r="G307" s="81"/>
    </row>
    <row r="308" ht="15.75" spans="1:7">
      <c r="A308" s="257" t="s">
        <v>210</v>
      </c>
      <c r="B308" s="74"/>
      <c r="C308" s="79">
        <f t="shared" si="7"/>
        <v>0</v>
      </c>
      <c r="D308" s="80">
        <f t="shared" si="8"/>
        <v>0</v>
      </c>
      <c r="E308" s="80"/>
      <c r="F308" s="81"/>
      <c r="G308" s="81"/>
    </row>
    <row r="309" ht="15.75" spans="1:7">
      <c r="A309" s="257" t="s">
        <v>211</v>
      </c>
      <c r="B309" s="74"/>
      <c r="C309" s="79">
        <f t="shared" si="7"/>
        <v>0</v>
      </c>
      <c r="D309" s="80">
        <f t="shared" si="8"/>
        <v>0</v>
      </c>
      <c r="E309" s="80"/>
      <c r="F309" s="81"/>
      <c r="G309" s="81"/>
    </row>
    <row r="310" ht="15.75" spans="1:7">
      <c r="A310" s="257" t="s">
        <v>212</v>
      </c>
      <c r="B310" s="74"/>
      <c r="C310" s="79">
        <f t="shared" si="7"/>
        <v>0</v>
      </c>
      <c r="D310" s="80">
        <f t="shared" si="8"/>
        <v>0</v>
      </c>
      <c r="E310" s="80"/>
      <c r="F310" s="81"/>
      <c r="G310" s="81"/>
    </row>
    <row r="311" ht="15.75" spans="1:7">
      <c r="A311" s="257" t="s">
        <v>213</v>
      </c>
      <c r="B311" s="74"/>
      <c r="C311" s="79">
        <f t="shared" si="7"/>
        <v>0</v>
      </c>
      <c r="D311" s="80">
        <f t="shared" si="8"/>
        <v>0</v>
      </c>
      <c r="E311" s="80"/>
      <c r="F311" s="81"/>
      <c r="G311" s="81"/>
    </row>
    <row r="312" ht="15.75" spans="1:7">
      <c r="A312" s="257" t="s">
        <v>214</v>
      </c>
      <c r="B312" s="74"/>
      <c r="C312" s="79">
        <f t="shared" si="7"/>
        <v>0</v>
      </c>
      <c r="D312" s="80">
        <f t="shared" si="8"/>
        <v>0</v>
      </c>
      <c r="E312" s="80"/>
      <c r="F312" s="81"/>
      <c r="G312" s="81"/>
    </row>
    <row r="313" ht="15.75" spans="1:7">
      <c r="A313" s="257" t="s">
        <v>215</v>
      </c>
      <c r="B313" s="74"/>
      <c r="C313" s="79">
        <f t="shared" si="7"/>
        <v>0</v>
      </c>
      <c r="D313" s="80">
        <f t="shared" si="8"/>
        <v>0</v>
      </c>
      <c r="E313" s="80"/>
      <c r="F313" s="81"/>
      <c r="G313" s="81"/>
    </row>
    <row r="314" ht="15.75" spans="1:7">
      <c r="A314" s="257" t="s">
        <v>216</v>
      </c>
      <c r="B314" s="74"/>
      <c r="C314" s="79">
        <f t="shared" si="7"/>
        <v>0</v>
      </c>
      <c r="D314" s="80">
        <f t="shared" si="8"/>
        <v>0</v>
      </c>
      <c r="E314" s="80"/>
      <c r="F314" s="81"/>
      <c r="G314" s="81"/>
    </row>
    <row r="315" ht="15.75" spans="1:7">
      <c r="A315" s="257" t="s">
        <v>217</v>
      </c>
      <c r="B315" s="74"/>
      <c r="C315" s="79">
        <f t="shared" si="7"/>
        <v>0</v>
      </c>
      <c r="D315" s="80">
        <f t="shared" si="8"/>
        <v>0</v>
      </c>
      <c r="E315" s="80"/>
      <c r="F315" s="81"/>
      <c r="G315" s="81"/>
    </row>
    <row r="316" ht="15.75" spans="1:7">
      <c r="A316" s="257" t="s">
        <v>218</v>
      </c>
      <c r="B316" s="74"/>
      <c r="C316" s="79">
        <f t="shared" si="7"/>
        <v>0</v>
      </c>
      <c r="D316" s="80">
        <f t="shared" si="8"/>
        <v>0</v>
      </c>
      <c r="E316" s="80"/>
      <c r="F316" s="81"/>
      <c r="G316" s="81"/>
    </row>
    <row r="317" ht="15.75" spans="1:7">
      <c r="A317" s="257" t="s">
        <v>219</v>
      </c>
      <c r="B317" s="74"/>
      <c r="C317" s="79">
        <f t="shared" si="7"/>
        <v>0</v>
      </c>
      <c r="D317" s="80">
        <f t="shared" si="8"/>
        <v>0</v>
      </c>
      <c r="E317" s="80"/>
      <c r="F317" s="81"/>
      <c r="G317" s="81"/>
    </row>
    <row r="318" ht="15.75" spans="1:7">
      <c r="A318" s="257" t="s">
        <v>220</v>
      </c>
      <c r="B318" s="74"/>
      <c r="C318" s="79">
        <f t="shared" si="7"/>
        <v>0</v>
      </c>
      <c r="D318" s="80">
        <f t="shared" si="8"/>
        <v>0</v>
      </c>
      <c r="E318" s="80"/>
      <c r="F318" s="81"/>
      <c r="G318" s="81"/>
    </row>
    <row r="319" ht="15.75" spans="1:7">
      <c r="A319" s="257" t="s">
        <v>221</v>
      </c>
      <c r="B319" s="74"/>
      <c r="C319" s="79">
        <f t="shared" si="7"/>
        <v>0</v>
      </c>
      <c r="D319" s="80">
        <f t="shared" si="8"/>
        <v>0</v>
      </c>
      <c r="E319" s="80"/>
      <c r="F319" s="81"/>
      <c r="G319" s="81"/>
    </row>
    <row r="320" ht="15.75" spans="1:7">
      <c r="A320" s="257" t="s">
        <v>221</v>
      </c>
      <c r="B320" s="257"/>
      <c r="C320" s="79">
        <f t="shared" si="7"/>
        <v>0</v>
      </c>
      <c r="D320" s="260"/>
      <c r="E320" s="72"/>
      <c r="F320" s="73"/>
      <c r="G320" s="84"/>
    </row>
    <row r="321" ht="15.75" spans="1:7">
      <c r="A321" s="257"/>
      <c r="B321" s="257"/>
      <c r="D321" s="116"/>
      <c r="E321" s="261" t="e">
        <f>AVERAGE(E270:E319)</f>
        <v>#DIV/0!</v>
      </c>
      <c r="F321" s="262" t="e">
        <f>AVERAGE(F270:F319)</f>
        <v>#DIV/0!</v>
      </c>
      <c r="G321" s="262"/>
    </row>
    <row r="322" ht="48.75" spans="1:7">
      <c r="A322" s="256" t="s">
        <v>233</v>
      </c>
      <c r="B322" s="257"/>
      <c r="D322" s="116"/>
      <c r="E322" s="263" t="e">
        <f>B327</f>
        <v>#DIV/0!</v>
      </c>
      <c r="F322" s="264" t="e">
        <f>B328</f>
        <v>#DIV/0!</v>
      </c>
      <c r="G322" s="265"/>
    </row>
    <row r="323" ht="48.75" spans="1:7">
      <c r="A323" s="256" t="s">
        <v>224</v>
      </c>
      <c r="B323" s="116"/>
      <c r="D323" s="72"/>
      <c r="E323" s="72"/>
      <c r="F323" s="73"/>
      <c r="G323" s="73"/>
    </row>
    <row r="324" ht="84.75" spans="1:7">
      <c r="A324" s="266" t="s">
        <v>225</v>
      </c>
      <c r="B324" s="116"/>
      <c r="D324" s="72"/>
      <c r="E324" s="72" t="e">
        <f>0.6*E322</f>
        <v>#DIV/0!</v>
      </c>
      <c r="F324" s="73" t="e">
        <f>0.6*F322</f>
        <v>#DIV/0!</v>
      </c>
      <c r="G324" s="73"/>
    </row>
    <row r="327" spans="1:2">
      <c r="A327" s="531" t="s">
        <v>226</v>
      </c>
      <c r="B327" s="95" t="e">
        <f>AVERAGE(B275:B314)</f>
        <v>#DIV/0!</v>
      </c>
    </row>
    <row r="328" spans="1:2">
      <c r="A328" s="531" t="s">
        <v>227</v>
      </c>
      <c r="B328" s="96" t="e">
        <f>AVERAGE(B280:B309)</f>
        <v>#DIV/0!</v>
      </c>
    </row>
    <row r="329" spans="1:2">
      <c r="A329" s="531" t="s">
        <v>228</v>
      </c>
      <c r="B329" s="96" t="e">
        <f>AVERAGE(B286:B304)</f>
        <v>#DIV/0!</v>
      </c>
    </row>
    <row r="332" ht="15.75"/>
    <row r="333" customHeight="1" spans="1:7">
      <c r="A333" s="252" t="s">
        <v>165</v>
      </c>
      <c r="B333" s="268" t="s">
        <v>37</v>
      </c>
      <c r="C333" s="269"/>
      <c r="D333" s="270"/>
      <c r="E333" s="70">
        <f>(1-E388)^(1/3)-1</f>
        <v>0</v>
      </c>
      <c r="F333" s="70">
        <f>(1-F388)^(1/3)-1</f>
        <v>0</v>
      </c>
      <c r="G333" s="70"/>
    </row>
    <row r="334" ht="72.75" spans="1:7">
      <c r="A334" s="253"/>
      <c r="B334" s="254" t="s">
        <v>167</v>
      </c>
      <c r="D334" s="83" t="s">
        <v>168</v>
      </c>
      <c r="E334" s="83" t="s">
        <v>169</v>
      </c>
      <c r="F334" s="84" t="s">
        <v>169</v>
      </c>
      <c r="G334" s="84"/>
    </row>
    <row r="335" ht="24.75" spans="1:7">
      <c r="A335" s="254"/>
      <c r="B335" s="257" t="s">
        <v>365</v>
      </c>
      <c r="D335" s="271" t="s">
        <v>171</v>
      </c>
      <c r="E335" s="271" t="s">
        <v>171</v>
      </c>
      <c r="F335" s="271" t="s">
        <v>171</v>
      </c>
      <c r="G335" s="271"/>
    </row>
    <row r="336" ht="15.75" spans="1:7">
      <c r="A336" s="75">
        <v>1</v>
      </c>
      <c r="B336" s="76">
        <v>2</v>
      </c>
      <c r="C336" s="131"/>
      <c r="D336" s="76">
        <v>3</v>
      </c>
      <c r="E336" s="76">
        <v>4</v>
      </c>
      <c r="F336" s="77">
        <v>5</v>
      </c>
      <c r="G336" s="77"/>
    </row>
    <row r="337" ht="15.75" spans="1:7">
      <c r="A337" s="533" t="s">
        <v>172</v>
      </c>
      <c r="B337" s="272"/>
      <c r="C337">
        <v>0</v>
      </c>
      <c r="D337" s="80">
        <f t="shared" ref="D337:D368" si="9">IF(B337=0,0,IF(B337&lt;=E$391,0,B337-E$391)/B337)</f>
        <v>0</v>
      </c>
      <c r="E337" s="80"/>
      <c r="F337" s="81"/>
      <c r="G337" s="81"/>
    </row>
    <row r="338" ht="15.75" spans="1:7">
      <c r="A338" s="533" t="s">
        <v>173</v>
      </c>
      <c r="B338" s="74"/>
      <c r="C338" s="79">
        <f>B337</f>
        <v>0</v>
      </c>
      <c r="D338" s="80">
        <f t="shared" si="9"/>
        <v>0</v>
      </c>
      <c r="E338" s="80"/>
      <c r="F338" s="81"/>
      <c r="G338" s="81"/>
    </row>
    <row r="339" ht="15.75" spans="1:7">
      <c r="A339" s="533" t="s">
        <v>174</v>
      </c>
      <c r="B339" s="74"/>
      <c r="C339" s="79">
        <f t="shared" ref="C339:C387" si="10">B338</f>
        <v>0</v>
      </c>
      <c r="D339" s="80">
        <f t="shared" si="9"/>
        <v>0</v>
      </c>
      <c r="E339" s="80"/>
      <c r="F339" s="81"/>
      <c r="G339" s="81"/>
    </row>
    <row r="340" ht="15.75" spans="1:7">
      <c r="A340" s="533" t="s">
        <v>175</v>
      </c>
      <c r="B340" s="74"/>
      <c r="C340" s="79">
        <f t="shared" si="10"/>
        <v>0</v>
      </c>
      <c r="D340" s="80">
        <f t="shared" si="9"/>
        <v>0</v>
      </c>
      <c r="E340" s="80"/>
      <c r="F340" s="81"/>
      <c r="G340" s="81"/>
    </row>
    <row r="341" ht="15.75" spans="1:7">
      <c r="A341" s="533" t="s">
        <v>176</v>
      </c>
      <c r="B341" s="74"/>
      <c r="C341" s="79">
        <f t="shared" si="10"/>
        <v>0</v>
      </c>
      <c r="D341" s="80">
        <f t="shared" si="9"/>
        <v>0</v>
      </c>
      <c r="E341" s="80"/>
      <c r="F341" s="81"/>
      <c r="G341" s="81"/>
    </row>
    <row r="342" ht="15.75" spans="1:7">
      <c r="A342" s="533" t="s">
        <v>177</v>
      </c>
      <c r="B342" s="74"/>
      <c r="C342" s="79">
        <f t="shared" si="10"/>
        <v>0</v>
      </c>
      <c r="D342" s="80">
        <f t="shared" si="9"/>
        <v>0</v>
      </c>
      <c r="E342" s="80"/>
      <c r="F342" s="81"/>
      <c r="G342" s="81"/>
    </row>
    <row r="343" ht="15.75" spans="1:7">
      <c r="A343" s="533" t="s">
        <v>178</v>
      </c>
      <c r="B343" s="74"/>
      <c r="C343" s="79">
        <f t="shared" si="10"/>
        <v>0</v>
      </c>
      <c r="D343" s="80">
        <f t="shared" si="9"/>
        <v>0</v>
      </c>
      <c r="E343" s="80"/>
      <c r="F343" s="81"/>
      <c r="G343" s="81"/>
    </row>
    <row r="344" ht="15.75" spans="1:7">
      <c r="A344" s="257" t="s">
        <v>179</v>
      </c>
      <c r="B344" s="74"/>
      <c r="C344" s="79">
        <f t="shared" si="10"/>
        <v>0</v>
      </c>
      <c r="D344" s="80">
        <f t="shared" si="9"/>
        <v>0</v>
      </c>
      <c r="E344" s="80"/>
      <c r="F344" s="81"/>
      <c r="G344" s="81"/>
    </row>
    <row r="345" ht="15.75" spans="1:7">
      <c r="A345" s="257" t="s">
        <v>180</v>
      </c>
      <c r="B345" s="74"/>
      <c r="C345" s="79">
        <f t="shared" si="10"/>
        <v>0</v>
      </c>
      <c r="D345" s="80">
        <f t="shared" si="9"/>
        <v>0</v>
      </c>
      <c r="E345" s="80"/>
      <c r="F345" s="81"/>
      <c r="G345" s="81"/>
    </row>
    <row r="346" ht="15.75" spans="1:7">
      <c r="A346" s="257" t="s">
        <v>181</v>
      </c>
      <c r="B346" s="74"/>
      <c r="C346" s="79">
        <f t="shared" si="10"/>
        <v>0</v>
      </c>
      <c r="D346" s="80">
        <f t="shared" si="9"/>
        <v>0</v>
      </c>
      <c r="E346" s="80"/>
      <c r="F346" s="81"/>
      <c r="G346" s="81"/>
    </row>
    <row r="347" ht="15.75" spans="1:7">
      <c r="A347" s="257" t="s">
        <v>182</v>
      </c>
      <c r="B347" s="74"/>
      <c r="C347" s="79">
        <f t="shared" si="10"/>
        <v>0</v>
      </c>
      <c r="D347" s="80">
        <f t="shared" si="9"/>
        <v>0</v>
      </c>
      <c r="E347" s="80"/>
      <c r="F347" s="81"/>
      <c r="G347" s="81"/>
    </row>
    <row r="348" ht="15.75" spans="1:7">
      <c r="A348" s="257" t="s">
        <v>183</v>
      </c>
      <c r="B348" s="74"/>
      <c r="C348" s="79">
        <f t="shared" si="10"/>
        <v>0</v>
      </c>
      <c r="D348" s="80">
        <f t="shared" si="9"/>
        <v>0</v>
      </c>
      <c r="E348" s="80"/>
      <c r="F348" s="81"/>
      <c r="G348" s="81"/>
    </row>
    <row r="349" ht="15.75" spans="1:7">
      <c r="A349" s="257" t="s">
        <v>184</v>
      </c>
      <c r="B349" s="74"/>
      <c r="C349" s="79">
        <f t="shared" si="10"/>
        <v>0</v>
      </c>
      <c r="D349" s="80">
        <f t="shared" si="9"/>
        <v>0</v>
      </c>
      <c r="E349" s="80"/>
      <c r="F349" s="81"/>
      <c r="G349" s="81"/>
    </row>
    <row r="350" ht="15.75" spans="1:7">
      <c r="A350" s="257" t="s">
        <v>185</v>
      </c>
      <c r="B350" s="74"/>
      <c r="C350" s="79">
        <f t="shared" si="10"/>
        <v>0</v>
      </c>
      <c r="D350" s="80">
        <f t="shared" si="9"/>
        <v>0</v>
      </c>
      <c r="E350" s="80"/>
      <c r="F350" s="81"/>
      <c r="G350" s="81"/>
    </row>
    <row r="351" ht="15.75" spans="1:7">
      <c r="A351" s="257" t="s">
        <v>186</v>
      </c>
      <c r="B351" s="74"/>
      <c r="C351" s="79">
        <f t="shared" si="10"/>
        <v>0</v>
      </c>
      <c r="D351" s="80">
        <f t="shared" si="9"/>
        <v>0</v>
      </c>
      <c r="E351" s="80"/>
      <c r="F351" s="81"/>
      <c r="G351" s="81"/>
    </row>
    <row r="352" ht="15.75" spans="1:7">
      <c r="A352" s="257" t="s">
        <v>187</v>
      </c>
      <c r="B352" s="74"/>
      <c r="C352" s="79">
        <f t="shared" si="10"/>
        <v>0</v>
      </c>
      <c r="D352" s="80">
        <f t="shared" si="9"/>
        <v>0</v>
      </c>
      <c r="E352" s="80"/>
      <c r="F352" s="81"/>
      <c r="G352" s="81"/>
    </row>
    <row r="353" ht="15.75" spans="1:7">
      <c r="A353" s="257" t="s">
        <v>188</v>
      </c>
      <c r="B353" s="74"/>
      <c r="C353" s="79">
        <f t="shared" si="10"/>
        <v>0</v>
      </c>
      <c r="D353" s="80">
        <f t="shared" si="9"/>
        <v>0</v>
      </c>
      <c r="E353" s="80"/>
      <c r="F353" s="81"/>
      <c r="G353" s="81"/>
    </row>
    <row r="354" ht="15.75" spans="1:7">
      <c r="A354" s="257" t="s">
        <v>189</v>
      </c>
      <c r="B354" s="74"/>
      <c r="C354" s="79">
        <f t="shared" si="10"/>
        <v>0</v>
      </c>
      <c r="D354" s="80">
        <f t="shared" si="9"/>
        <v>0</v>
      </c>
      <c r="E354" s="80"/>
      <c r="F354" s="81"/>
      <c r="G354" s="81"/>
    </row>
    <row r="355" ht="15.75" spans="1:7">
      <c r="A355" s="257" t="s">
        <v>190</v>
      </c>
      <c r="B355" s="74"/>
      <c r="C355" s="79">
        <f t="shared" si="10"/>
        <v>0</v>
      </c>
      <c r="D355" s="80">
        <f t="shared" si="9"/>
        <v>0</v>
      </c>
      <c r="E355" s="80"/>
      <c r="F355" s="81"/>
      <c r="G355" s="81"/>
    </row>
    <row r="356" ht="15.75" spans="1:7">
      <c r="A356" s="257" t="s">
        <v>191</v>
      </c>
      <c r="B356" s="74"/>
      <c r="C356" s="79">
        <f t="shared" si="10"/>
        <v>0</v>
      </c>
      <c r="D356" s="80">
        <f t="shared" si="9"/>
        <v>0</v>
      </c>
      <c r="E356" s="80"/>
      <c r="F356" s="81"/>
      <c r="G356" s="81"/>
    </row>
    <row r="357" ht="15.75" spans="1:7">
      <c r="A357" s="257" t="s">
        <v>192</v>
      </c>
      <c r="B357" s="74"/>
      <c r="C357" s="79">
        <f t="shared" si="10"/>
        <v>0</v>
      </c>
      <c r="D357" s="80">
        <f t="shared" si="9"/>
        <v>0</v>
      </c>
      <c r="E357" s="80"/>
      <c r="F357" s="81"/>
      <c r="G357" s="81"/>
    </row>
    <row r="358" ht="15.75" spans="1:7">
      <c r="A358" s="257" t="s">
        <v>193</v>
      </c>
      <c r="B358" s="74"/>
      <c r="C358" s="79">
        <f t="shared" si="10"/>
        <v>0</v>
      </c>
      <c r="D358" s="80">
        <f t="shared" si="9"/>
        <v>0</v>
      </c>
      <c r="E358" s="80"/>
      <c r="F358" s="81"/>
      <c r="G358" s="81"/>
    </row>
    <row r="359" ht="15.75" spans="1:7">
      <c r="A359" s="257" t="s">
        <v>194</v>
      </c>
      <c r="B359" s="74"/>
      <c r="C359" s="79">
        <f t="shared" si="10"/>
        <v>0</v>
      </c>
      <c r="D359" s="80">
        <f t="shared" si="9"/>
        <v>0</v>
      </c>
      <c r="E359" s="80"/>
      <c r="F359" s="81"/>
      <c r="G359" s="81"/>
    </row>
    <row r="360" ht="15.75" spans="1:7">
      <c r="A360" s="257" t="s">
        <v>195</v>
      </c>
      <c r="B360" s="74"/>
      <c r="C360" s="79">
        <f t="shared" si="10"/>
        <v>0</v>
      </c>
      <c r="D360" s="80">
        <f t="shared" si="9"/>
        <v>0</v>
      </c>
      <c r="E360" s="80"/>
      <c r="F360" s="81"/>
      <c r="G360" s="81"/>
    </row>
    <row r="361" ht="15.75" spans="1:7">
      <c r="A361" s="257" t="s">
        <v>196</v>
      </c>
      <c r="B361" s="74"/>
      <c r="C361" s="79">
        <f t="shared" si="10"/>
        <v>0</v>
      </c>
      <c r="D361" s="80">
        <f t="shared" si="9"/>
        <v>0</v>
      </c>
      <c r="E361" s="80"/>
      <c r="F361" s="81"/>
      <c r="G361" s="81"/>
    </row>
    <row r="362" ht="15.75" spans="1:7">
      <c r="A362" s="257" t="s">
        <v>197</v>
      </c>
      <c r="B362" s="74"/>
      <c r="C362" s="79">
        <f t="shared" si="10"/>
        <v>0</v>
      </c>
      <c r="D362" s="80">
        <f t="shared" si="9"/>
        <v>0</v>
      </c>
      <c r="E362" s="80"/>
      <c r="F362" s="81"/>
      <c r="G362" s="81"/>
    </row>
    <row r="363" ht="15.75" spans="1:7">
      <c r="A363" s="257" t="s">
        <v>198</v>
      </c>
      <c r="B363" s="74"/>
      <c r="C363" s="79">
        <f t="shared" si="10"/>
        <v>0</v>
      </c>
      <c r="D363" s="80">
        <f t="shared" si="9"/>
        <v>0</v>
      </c>
      <c r="E363" s="80"/>
      <c r="F363" s="81"/>
      <c r="G363" s="81"/>
    </row>
    <row r="364" ht="15.75" spans="1:7">
      <c r="A364" s="257" t="s">
        <v>199</v>
      </c>
      <c r="B364" s="74"/>
      <c r="C364" s="79">
        <f t="shared" si="10"/>
        <v>0</v>
      </c>
      <c r="D364" s="80">
        <f t="shared" si="9"/>
        <v>0</v>
      </c>
      <c r="E364" s="80"/>
      <c r="F364" s="81"/>
      <c r="G364" s="81"/>
    </row>
    <row r="365" ht="15.75" spans="1:7">
      <c r="A365" s="257" t="s">
        <v>200</v>
      </c>
      <c r="B365" s="74"/>
      <c r="C365" s="79">
        <f t="shared" si="10"/>
        <v>0</v>
      </c>
      <c r="D365" s="80">
        <f t="shared" si="9"/>
        <v>0</v>
      </c>
      <c r="E365" s="80"/>
      <c r="F365" s="81"/>
      <c r="G365" s="81"/>
    </row>
    <row r="366" ht="15.75" spans="1:7">
      <c r="A366" s="257" t="s">
        <v>201</v>
      </c>
      <c r="B366" s="74"/>
      <c r="C366" s="79">
        <f t="shared" si="10"/>
        <v>0</v>
      </c>
      <c r="D366" s="80">
        <f t="shared" si="9"/>
        <v>0</v>
      </c>
      <c r="E366" s="80"/>
      <c r="F366" s="81"/>
      <c r="G366" s="81"/>
    </row>
    <row r="367" ht="15.75" spans="1:7">
      <c r="A367" s="257" t="s">
        <v>202</v>
      </c>
      <c r="B367" s="74"/>
      <c r="C367" s="79">
        <f t="shared" si="10"/>
        <v>0</v>
      </c>
      <c r="D367" s="80">
        <f t="shared" si="9"/>
        <v>0</v>
      </c>
      <c r="E367" s="80"/>
      <c r="F367" s="81"/>
      <c r="G367" s="81"/>
    </row>
    <row r="368" ht="15.75" spans="1:7">
      <c r="A368" s="257" t="s">
        <v>203</v>
      </c>
      <c r="B368" s="74"/>
      <c r="C368" s="79">
        <f t="shared" si="10"/>
        <v>0</v>
      </c>
      <c r="D368" s="80">
        <f t="shared" si="9"/>
        <v>0</v>
      </c>
      <c r="E368" s="80"/>
      <c r="F368" s="81"/>
      <c r="G368" s="81"/>
    </row>
    <row r="369" ht="15.75" spans="1:7">
      <c r="A369" s="257" t="s">
        <v>204</v>
      </c>
      <c r="B369" s="74"/>
      <c r="C369" s="79">
        <f t="shared" si="10"/>
        <v>0</v>
      </c>
      <c r="D369" s="80">
        <f t="shared" ref="D369:D386" si="11">IF(B369=0,0,IF(B369&lt;=E$391,0,B369-E$391)/B369)</f>
        <v>0</v>
      </c>
      <c r="E369" s="80"/>
      <c r="F369" s="81"/>
      <c r="G369" s="81"/>
    </row>
    <row r="370" ht="15.75" spans="1:7">
      <c r="A370" s="257" t="s">
        <v>205</v>
      </c>
      <c r="B370" s="74"/>
      <c r="C370" s="79">
        <f t="shared" si="10"/>
        <v>0</v>
      </c>
      <c r="D370" s="80">
        <f t="shared" si="11"/>
        <v>0</v>
      </c>
      <c r="E370" s="80"/>
      <c r="F370" s="81"/>
      <c r="G370" s="81"/>
    </row>
    <row r="371" ht="15.75" spans="1:7">
      <c r="A371" s="257" t="s">
        <v>206</v>
      </c>
      <c r="B371" s="74"/>
      <c r="C371" s="79">
        <f t="shared" si="10"/>
        <v>0</v>
      </c>
      <c r="D371" s="80">
        <f t="shared" si="11"/>
        <v>0</v>
      </c>
      <c r="E371" s="80"/>
      <c r="F371" s="81"/>
      <c r="G371" s="81"/>
    </row>
    <row r="372" ht="15.75" spans="1:7">
      <c r="A372" s="257" t="s">
        <v>207</v>
      </c>
      <c r="B372" s="74"/>
      <c r="C372" s="79">
        <f t="shared" si="10"/>
        <v>0</v>
      </c>
      <c r="D372" s="80">
        <f t="shared" si="11"/>
        <v>0</v>
      </c>
      <c r="E372" s="80"/>
      <c r="F372" s="81"/>
      <c r="G372" s="81"/>
    </row>
    <row r="373" ht="15.75" spans="1:7">
      <c r="A373" s="257" t="s">
        <v>208</v>
      </c>
      <c r="B373" s="74"/>
      <c r="C373" s="79">
        <f t="shared" si="10"/>
        <v>0</v>
      </c>
      <c r="D373" s="80">
        <f t="shared" si="11"/>
        <v>0</v>
      </c>
      <c r="E373" s="80"/>
      <c r="F373" s="81"/>
      <c r="G373" s="81"/>
    </row>
    <row r="374" ht="15.75" spans="1:7">
      <c r="A374" s="257" t="s">
        <v>209</v>
      </c>
      <c r="B374" s="74"/>
      <c r="C374" s="79">
        <f t="shared" si="10"/>
        <v>0</v>
      </c>
      <c r="D374" s="80">
        <f t="shared" si="11"/>
        <v>0</v>
      </c>
      <c r="E374" s="80"/>
      <c r="F374" s="81"/>
      <c r="G374" s="81"/>
    </row>
    <row r="375" ht="15.75" spans="1:7">
      <c r="A375" s="257" t="s">
        <v>210</v>
      </c>
      <c r="B375" s="74"/>
      <c r="C375" s="79">
        <f t="shared" si="10"/>
        <v>0</v>
      </c>
      <c r="D375" s="80">
        <f t="shared" si="11"/>
        <v>0</v>
      </c>
      <c r="E375" s="80"/>
      <c r="F375" s="81"/>
      <c r="G375" s="81"/>
    </row>
    <row r="376" ht="15.75" spans="1:7">
      <c r="A376" s="257" t="s">
        <v>211</v>
      </c>
      <c r="B376" s="74"/>
      <c r="C376" s="79">
        <f t="shared" si="10"/>
        <v>0</v>
      </c>
      <c r="D376" s="80">
        <f t="shared" si="11"/>
        <v>0</v>
      </c>
      <c r="E376" s="80"/>
      <c r="F376" s="81"/>
      <c r="G376" s="81"/>
    </row>
    <row r="377" ht="15.75" spans="1:7">
      <c r="A377" s="257" t="s">
        <v>212</v>
      </c>
      <c r="B377" s="74"/>
      <c r="C377" s="79">
        <f t="shared" si="10"/>
        <v>0</v>
      </c>
      <c r="D377" s="80">
        <f t="shared" si="11"/>
        <v>0</v>
      </c>
      <c r="E377" s="80"/>
      <c r="F377" s="81"/>
      <c r="G377" s="81"/>
    </row>
    <row r="378" ht="15.75" spans="1:7">
      <c r="A378" s="257" t="s">
        <v>213</v>
      </c>
      <c r="B378" s="74"/>
      <c r="C378" s="79">
        <f t="shared" si="10"/>
        <v>0</v>
      </c>
      <c r="D378" s="80">
        <f t="shared" si="11"/>
        <v>0</v>
      </c>
      <c r="E378" s="80"/>
      <c r="F378" s="81"/>
      <c r="G378" s="81"/>
    </row>
    <row r="379" ht="15.75" spans="1:7">
      <c r="A379" s="257" t="s">
        <v>214</v>
      </c>
      <c r="B379" s="74"/>
      <c r="C379" s="79">
        <f t="shared" si="10"/>
        <v>0</v>
      </c>
      <c r="D379" s="80">
        <f t="shared" si="11"/>
        <v>0</v>
      </c>
      <c r="E379" s="80"/>
      <c r="F379" s="81"/>
      <c r="G379" s="81"/>
    </row>
    <row r="380" ht="15.75" spans="1:7">
      <c r="A380" s="257" t="s">
        <v>215</v>
      </c>
      <c r="B380" s="74"/>
      <c r="C380" s="79">
        <f t="shared" si="10"/>
        <v>0</v>
      </c>
      <c r="D380" s="80">
        <f t="shared" si="11"/>
        <v>0</v>
      </c>
      <c r="E380" s="80"/>
      <c r="F380" s="81"/>
      <c r="G380" s="81"/>
    </row>
    <row r="381" ht="15.75" spans="1:7">
      <c r="A381" s="257" t="s">
        <v>216</v>
      </c>
      <c r="B381" s="74"/>
      <c r="C381" s="79">
        <f t="shared" si="10"/>
        <v>0</v>
      </c>
      <c r="D381" s="80">
        <f t="shared" si="11"/>
        <v>0</v>
      </c>
      <c r="E381" s="80"/>
      <c r="F381" s="81"/>
      <c r="G381" s="81"/>
    </row>
    <row r="382" ht="15.75" spans="1:7">
      <c r="A382" s="257" t="s">
        <v>217</v>
      </c>
      <c r="B382" s="74"/>
      <c r="C382" s="79">
        <f t="shared" si="10"/>
        <v>0</v>
      </c>
      <c r="D382" s="80">
        <f t="shared" si="11"/>
        <v>0</v>
      </c>
      <c r="E382" s="80"/>
      <c r="F382" s="81"/>
      <c r="G382" s="81"/>
    </row>
    <row r="383" ht="15.75" spans="1:7">
      <c r="A383" s="257" t="s">
        <v>218</v>
      </c>
      <c r="B383" s="74"/>
      <c r="C383" s="79">
        <f t="shared" si="10"/>
        <v>0</v>
      </c>
      <c r="D383" s="80">
        <f t="shared" si="11"/>
        <v>0</v>
      </c>
      <c r="E383" s="80"/>
      <c r="F383" s="81"/>
      <c r="G383" s="81"/>
    </row>
    <row r="384" ht="15.75" spans="1:7">
      <c r="A384" s="257" t="s">
        <v>219</v>
      </c>
      <c r="B384" s="74"/>
      <c r="C384" s="79">
        <f t="shared" si="10"/>
        <v>0</v>
      </c>
      <c r="D384" s="80">
        <f t="shared" si="11"/>
        <v>0</v>
      </c>
      <c r="E384" s="80"/>
      <c r="F384" s="81"/>
      <c r="G384" s="81"/>
    </row>
    <row r="385" ht="15.75" spans="1:7">
      <c r="A385" s="257" t="s">
        <v>220</v>
      </c>
      <c r="B385" s="74"/>
      <c r="C385" s="79">
        <f t="shared" si="10"/>
        <v>0</v>
      </c>
      <c r="D385" s="80">
        <f t="shared" si="11"/>
        <v>0</v>
      </c>
      <c r="E385" s="80"/>
      <c r="F385" s="81"/>
      <c r="G385" s="81"/>
    </row>
    <row r="386" ht="15.75" spans="1:7">
      <c r="A386" s="257" t="s">
        <v>221</v>
      </c>
      <c r="B386" s="259"/>
      <c r="C386" s="79">
        <f t="shared" si="10"/>
        <v>0</v>
      </c>
      <c r="D386" s="80">
        <f t="shared" si="11"/>
        <v>0</v>
      </c>
      <c r="E386" s="80"/>
      <c r="F386" s="81"/>
      <c r="G386" s="81"/>
    </row>
    <row r="387" ht="15.75" spans="1:7">
      <c r="A387" s="257" t="s">
        <v>221</v>
      </c>
      <c r="B387" s="257"/>
      <c r="C387" s="79">
        <f t="shared" si="10"/>
        <v>0</v>
      </c>
      <c r="D387" s="260" t="s">
        <v>124</v>
      </c>
      <c r="E387" s="72"/>
      <c r="F387" s="73"/>
      <c r="G387" s="84"/>
    </row>
    <row r="388" ht="15.75" spans="1:7">
      <c r="A388" s="257"/>
      <c r="B388" s="257"/>
      <c r="D388" s="116" t="s">
        <v>124</v>
      </c>
      <c r="E388" s="261"/>
      <c r="F388" s="262"/>
      <c r="G388" s="262"/>
    </row>
    <row r="389" ht="48.75" spans="1:7">
      <c r="A389" s="256" t="s">
        <v>233</v>
      </c>
      <c r="B389" s="257"/>
      <c r="D389" s="116" t="s">
        <v>124</v>
      </c>
      <c r="E389" s="263"/>
      <c r="F389" s="264"/>
      <c r="G389" s="265"/>
    </row>
    <row r="390" ht="48.75" spans="1:7">
      <c r="A390" s="256" t="s">
        <v>224</v>
      </c>
      <c r="B390" s="116"/>
      <c r="D390" s="72"/>
      <c r="E390" s="72"/>
      <c r="F390" s="73"/>
      <c r="G390" s="73"/>
    </row>
    <row r="391" ht="84.75" spans="1:7">
      <c r="A391" s="266" t="s">
        <v>225</v>
      </c>
      <c r="B391" s="116"/>
      <c r="D391" s="72"/>
      <c r="E391" s="72">
        <f>0.6*E389</f>
        <v>0</v>
      </c>
      <c r="F391" s="73">
        <f>0.6*F389</f>
        <v>0</v>
      </c>
      <c r="G391" s="73"/>
    </row>
    <row r="394" spans="1:2">
      <c r="A394" s="531" t="s">
        <v>226</v>
      </c>
      <c r="B394" s="95" t="e">
        <f>AVERAGE(B342:B381)</f>
        <v>#DIV/0!</v>
      </c>
    </row>
    <row r="395" spans="1:2">
      <c r="A395" s="531" t="s">
        <v>227</v>
      </c>
      <c r="B395" s="96" t="e">
        <f>AVERAGE(B347:B376)</f>
        <v>#DIV/0!</v>
      </c>
    </row>
    <row r="396" spans="1:2">
      <c r="A396" s="531" t="s">
        <v>228</v>
      </c>
      <c r="B396" s="96" t="e">
        <f>AVERAGE(B353:B371)</f>
        <v>#DIV/0!</v>
      </c>
    </row>
    <row r="400" ht="15.75"/>
    <row r="401" ht="15.75" spans="1:7">
      <c r="A401" s="252" t="s">
        <v>165</v>
      </c>
      <c r="B401" s="273" t="s">
        <v>366</v>
      </c>
      <c r="C401" s="274"/>
      <c r="D401" s="275"/>
      <c r="E401" s="70">
        <f>(1-E456)^(1/3)-1</f>
        <v>0</v>
      </c>
      <c r="F401" s="70">
        <f>(1-F456)^(1/3)-1</f>
        <v>0</v>
      </c>
      <c r="G401" s="70"/>
    </row>
    <row r="402" ht="72.75" spans="1:7">
      <c r="A402" s="253"/>
      <c r="B402" s="254" t="s">
        <v>167</v>
      </c>
      <c r="C402">
        <v>0</v>
      </c>
      <c r="D402" s="72" t="s">
        <v>169</v>
      </c>
      <c r="E402" s="72" t="s">
        <v>169</v>
      </c>
      <c r="F402" s="73" t="s">
        <v>169</v>
      </c>
      <c r="G402" s="73"/>
    </row>
    <row r="403" ht="72.75" spans="1:6">
      <c r="A403" s="254"/>
      <c r="B403" s="116" t="s">
        <v>367</v>
      </c>
      <c r="C403" s="79" t="str">
        <f>B402</f>
        <v>Фактическое удельное годовое потребление</v>
      </c>
      <c r="D403" s="271" t="s">
        <v>171</v>
      </c>
      <c r="E403" s="536" t="s">
        <v>227</v>
      </c>
      <c r="F403" s="276"/>
    </row>
    <row r="404" ht="24.75" spans="1:7">
      <c r="A404" s="277">
        <v>1</v>
      </c>
      <c r="B404" s="277"/>
      <c r="C404" s="79" t="str">
        <f t="shared" ref="C404:C452" si="12">B403</f>
        <v>кгут / кв. м</v>
      </c>
      <c r="D404" s="116" t="s">
        <v>367</v>
      </c>
      <c r="E404" s="278">
        <v>5</v>
      </c>
      <c r="F404" s="279">
        <v>6</v>
      </c>
      <c r="G404" s="280"/>
    </row>
    <row r="405" ht="15.75" spans="1:7">
      <c r="A405" s="533" t="s">
        <v>172</v>
      </c>
      <c r="B405" s="257"/>
      <c r="C405" s="79">
        <f t="shared" si="12"/>
        <v>0</v>
      </c>
      <c r="D405" s="281"/>
      <c r="E405" s="80"/>
      <c r="F405" s="81"/>
      <c r="G405" s="81"/>
    </row>
    <row r="406" ht="15.75" spans="1:7">
      <c r="A406" s="533" t="s">
        <v>173</v>
      </c>
      <c r="B406" s="257"/>
      <c r="C406" s="79">
        <f t="shared" si="12"/>
        <v>0</v>
      </c>
      <c r="D406" s="116"/>
      <c r="E406" s="80"/>
      <c r="F406" s="81"/>
      <c r="G406" s="81"/>
    </row>
    <row r="407" ht="15.75" spans="1:7">
      <c r="A407" s="533" t="s">
        <v>174</v>
      </c>
      <c r="B407" s="257"/>
      <c r="C407" s="79">
        <f t="shared" si="12"/>
        <v>0</v>
      </c>
      <c r="D407" s="116"/>
      <c r="E407" s="80"/>
      <c r="F407" s="81"/>
      <c r="G407" s="81"/>
    </row>
    <row r="408" ht="15.75" spans="1:7">
      <c r="A408" s="533" t="s">
        <v>175</v>
      </c>
      <c r="B408" s="257"/>
      <c r="C408" s="79">
        <f t="shared" si="12"/>
        <v>0</v>
      </c>
      <c r="D408" s="116"/>
      <c r="E408" s="80"/>
      <c r="F408" s="81"/>
      <c r="G408" s="81"/>
    </row>
    <row r="409" ht="15.75" spans="1:7">
      <c r="A409" s="533" t="s">
        <v>176</v>
      </c>
      <c r="B409" s="257"/>
      <c r="C409" s="79">
        <f t="shared" si="12"/>
        <v>0</v>
      </c>
      <c r="D409" s="116"/>
      <c r="E409" s="80"/>
      <c r="F409" s="81"/>
      <c r="G409" s="81"/>
    </row>
    <row r="410" ht="15.75" spans="1:7">
      <c r="A410" s="533" t="s">
        <v>177</v>
      </c>
      <c r="B410" s="257"/>
      <c r="C410" s="79">
        <f t="shared" si="12"/>
        <v>0</v>
      </c>
      <c r="D410" s="116"/>
      <c r="E410" s="80"/>
      <c r="F410" s="81"/>
      <c r="G410" s="81"/>
    </row>
    <row r="411" ht="15.75" spans="1:7">
      <c r="A411" s="533" t="s">
        <v>178</v>
      </c>
      <c r="B411" s="257"/>
      <c r="C411" s="79">
        <f t="shared" si="12"/>
        <v>0</v>
      </c>
      <c r="D411" s="116"/>
      <c r="E411" s="80"/>
      <c r="F411" s="81"/>
      <c r="G411" s="81"/>
    </row>
    <row r="412" ht="15.75" spans="1:7">
      <c r="A412" s="257" t="s">
        <v>179</v>
      </c>
      <c r="B412" s="257"/>
      <c r="C412" s="79">
        <f t="shared" si="12"/>
        <v>0</v>
      </c>
      <c r="D412" s="116"/>
      <c r="E412" s="80"/>
      <c r="F412" s="81"/>
      <c r="G412" s="81"/>
    </row>
    <row r="413" ht="15.75" spans="1:7">
      <c r="A413" s="257" t="s">
        <v>180</v>
      </c>
      <c r="B413" s="257"/>
      <c r="C413" s="79">
        <f t="shared" si="12"/>
        <v>0</v>
      </c>
      <c r="D413" s="116"/>
      <c r="E413" s="80"/>
      <c r="F413" s="81"/>
      <c r="G413" s="81"/>
    </row>
    <row r="414" ht="15.75" spans="1:7">
      <c r="A414" s="257" t="s">
        <v>181</v>
      </c>
      <c r="B414" s="257"/>
      <c r="C414" s="79">
        <f t="shared" si="12"/>
        <v>0</v>
      </c>
      <c r="D414" s="116"/>
      <c r="E414" s="80"/>
      <c r="F414" s="81"/>
      <c r="G414" s="81"/>
    </row>
    <row r="415" ht="15.75" spans="1:7">
      <c r="A415" s="257" t="s">
        <v>182</v>
      </c>
      <c r="B415" s="257"/>
      <c r="C415" s="79">
        <f t="shared" si="12"/>
        <v>0</v>
      </c>
      <c r="D415" s="116"/>
      <c r="E415" s="80"/>
      <c r="F415" s="81"/>
      <c r="G415" s="81"/>
    </row>
    <row r="416" ht="15.75" spans="1:7">
      <c r="A416" s="257" t="s">
        <v>183</v>
      </c>
      <c r="B416" s="257"/>
      <c r="C416" s="79">
        <f t="shared" si="12"/>
        <v>0</v>
      </c>
      <c r="D416" s="116"/>
      <c r="E416" s="80"/>
      <c r="F416" s="81"/>
      <c r="G416" s="81"/>
    </row>
    <row r="417" ht="15.75" spans="1:7">
      <c r="A417" s="257" t="s">
        <v>184</v>
      </c>
      <c r="B417" s="257"/>
      <c r="C417" s="79">
        <f t="shared" si="12"/>
        <v>0</v>
      </c>
      <c r="D417" s="116"/>
      <c r="E417" s="80"/>
      <c r="F417" s="81"/>
      <c r="G417" s="81"/>
    </row>
    <row r="418" ht="15.75" spans="1:7">
      <c r="A418" s="257" t="s">
        <v>185</v>
      </c>
      <c r="B418" s="257"/>
      <c r="C418" s="79">
        <f t="shared" si="12"/>
        <v>0</v>
      </c>
      <c r="D418" s="116"/>
      <c r="E418" s="80"/>
      <c r="F418" s="81"/>
      <c r="G418" s="81"/>
    </row>
    <row r="419" ht="15.75" spans="1:7">
      <c r="A419" s="257" t="s">
        <v>186</v>
      </c>
      <c r="B419" s="257"/>
      <c r="C419" s="79">
        <f t="shared" si="12"/>
        <v>0</v>
      </c>
      <c r="D419" s="116"/>
      <c r="E419" s="80"/>
      <c r="F419" s="81"/>
      <c r="G419" s="81"/>
    </row>
    <row r="420" ht="15.75" spans="1:7">
      <c r="A420" s="257" t="s">
        <v>187</v>
      </c>
      <c r="B420" s="257"/>
      <c r="C420" s="79">
        <f t="shared" si="12"/>
        <v>0</v>
      </c>
      <c r="D420" s="116"/>
      <c r="E420" s="80"/>
      <c r="F420" s="81"/>
      <c r="G420" s="81"/>
    </row>
    <row r="421" ht="15.75" spans="1:7">
      <c r="A421" s="257" t="s">
        <v>188</v>
      </c>
      <c r="B421" s="257"/>
      <c r="C421" s="79">
        <f t="shared" si="12"/>
        <v>0</v>
      </c>
      <c r="D421" s="116"/>
      <c r="E421" s="80"/>
      <c r="F421" s="81"/>
      <c r="G421" s="81"/>
    </row>
    <row r="422" ht="15.75" spans="1:7">
      <c r="A422" s="257" t="s">
        <v>189</v>
      </c>
      <c r="B422" s="257"/>
      <c r="C422" s="79">
        <f t="shared" si="12"/>
        <v>0</v>
      </c>
      <c r="D422" s="116"/>
      <c r="E422" s="80"/>
      <c r="F422" s="81"/>
      <c r="G422" s="81"/>
    </row>
    <row r="423" ht="15.75" spans="1:7">
      <c r="A423" s="257" t="s">
        <v>190</v>
      </c>
      <c r="B423" s="257"/>
      <c r="C423" s="79">
        <f t="shared" si="12"/>
        <v>0</v>
      </c>
      <c r="D423" s="116"/>
      <c r="E423" s="80"/>
      <c r="F423" s="81"/>
      <c r="G423" s="81"/>
    </row>
    <row r="424" ht="15.75" spans="1:7">
      <c r="A424" s="257" t="s">
        <v>191</v>
      </c>
      <c r="B424" s="257"/>
      <c r="C424" s="79">
        <f t="shared" si="12"/>
        <v>0</v>
      </c>
      <c r="D424" s="116"/>
      <c r="E424" s="80"/>
      <c r="F424" s="81"/>
      <c r="G424" s="81"/>
    </row>
    <row r="425" ht="15.75" spans="1:7">
      <c r="A425" s="257" t="s">
        <v>192</v>
      </c>
      <c r="B425" s="257"/>
      <c r="C425" s="79">
        <f t="shared" si="12"/>
        <v>0</v>
      </c>
      <c r="D425" s="116"/>
      <c r="E425" s="80"/>
      <c r="F425" s="81"/>
      <c r="G425" s="81"/>
    </row>
    <row r="426" ht="15.75" spans="1:7">
      <c r="A426" s="257" t="s">
        <v>193</v>
      </c>
      <c r="B426" s="257"/>
      <c r="C426" s="79">
        <f t="shared" si="12"/>
        <v>0</v>
      </c>
      <c r="D426" s="116"/>
      <c r="E426" s="80"/>
      <c r="F426" s="81"/>
      <c r="G426" s="81"/>
    </row>
    <row r="427" ht="15.75" spans="1:7">
      <c r="A427" s="257" t="s">
        <v>194</v>
      </c>
      <c r="B427" s="257"/>
      <c r="C427" s="79">
        <f t="shared" si="12"/>
        <v>0</v>
      </c>
      <c r="D427" s="116"/>
      <c r="E427" s="80"/>
      <c r="F427" s="81"/>
      <c r="G427" s="81"/>
    </row>
    <row r="428" ht="15.75" spans="1:7">
      <c r="A428" s="257" t="s">
        <v>195</v>
      </c>
      <c r="B428" s="257"/>
      <c r="C428" s="79">
        <f t="shared" si="12"/>
        <v>0</v>
      </c>
      <c r="D428" s="116"/>
      <c r="E428" s="80"/>
      <c r="F428" s="81"/>
      <c r="G428" s="81"/>
    </row>
    <row r="429" ht="15.75" spans="1:7">
      <c r="A429" s="257" t="s">
        <v>196</v>
      </c>
      <c r="B429" s="257"/>
      <c r="C429" s="79">
        <f t="shared" si="12"/>
        <v>0</v>
      </c>
      <c r="D429" s="116"/>
      <c r="E429" s="80"/>
      <c r="F429" s="81"/>
      <c r="G429" s="81"/>
    </row>
    <row r="430" ht="15.75" spans="1:7">
      <c r="A430" s="257" t="s">
        <v>197</v>
      </c>
      <c r="B430" s="257"/>
      <c r="C430" s="79">
        <f t="shared" si="12"/>
        <v>0</v>
      </c>
      <c r="D430" s="116"/>
      <c r="E430" s="80"/>
      <c r="F430" s="81"/>
      <c r="G430" s="81"/>
    </row>
    <row r="431" ht="15.75" spans="1:7">
      <c r="A431" s="257" t="s">
        <v>198</v>
      </c>
      <c r="B431" s="257"/>
      <c r="C431" s="79">
        <f t="shared" si="12"/>
        <v>0</v>
      </c>
      <c r="D431" s="116"/>
      <c r="E431" s="80"/>
      <c r="F431" s="81"/>
      <c r="G431" s="81"/>
    </row>
    <row r="432" ht="15.75" spans="1:7">
      <c r="A432" s="257" t="s">
        <v>199</v>
      </c>
      <c r="B432" s="257"/>
      <c r="C432" s="79">
        <f t="shared" si="12"/>
        <v>0</v>
      </c>
      <c r="D432" s="116"/>
      <c r="E432" s="80"/>
      <c r="F432" s="81"/>
      <c r="G432" s="81"/>
    </row>
    <row r="433" ht="15.75" spans="1:7">
      <c r="A433" s="257" t="s">
        <v>200</v>
      </c>
      <c r="B433" s="257"/>
      <c r="C433" s="79">
        <f t="shared" si="12"/>
        <v>0</v>
      </c>
      <c r="D433" s="116"/>
      <c r="E433" s="80"/>
      <c r="F433" s="81"/>
      <c r="G433" s="81"/>
    </row>
    <row r="434" ht="15.75" spans="1:7">
      <c r="A434" s="257" t="s">
        <v>201</v>
      </c>
      <c r="B434" s="257"/>
      <c r="C434" s="79">
        <f t="shared" si="12"/>
        <v>0</v>
      </c>
      <c r="D434" s="116"/>
      <c r="E434" s="80"/>
      <c r="F434" s="81"/>
      <c r="G434" s="81"/>
    </row>
    <row r="435" ht="15.75" spans="1:7">
      <c r="A435" s="257" t="s">
        <v>202</v>
      </c>
      <c r="B435" s="257"/>
      <c r="C435" s="79">
        <f t="shared" si="12"/>
        <v>0</v>
      </c>
      <c r="D435" s="116"/>
      <c r="E435" s="80"/>
      <c r="F435" s="81"/>
      <c r="G435" s="81"/>
    </row>
    <row r="436" ht="15.75" spans="1:7">
      <c r="A436" s="257" t="s">
        <v>203</v>
      </c>
      <c r="B436" s="257"/>
      <c r="C436" s="79">
        <f t="shared" si="12"/>
        <v>0</v>
      </c>
      <c r="D436" s="116"/>
      <c r="E436" s="80"/>
      <c r="F436" s="81"/>
      <c r="G436" s="81"/>
    </row>
    <row r="437" ht="15.75" spans="1:7">
      <c r="A437" s="257" t="s">
        <v>204</v>
      </c>
      <c r="B437" s="257"/>
      <c r="C437" s="79">
        <f t="shared" si="12"/>
        <v>0</v>
      </c>
      <c r="D437" s="116"/>
      <c r="E437" s="80"/>
      <c r="F437" s="81"/>
      <c r="G437" s="81"/>
    </row>
    <row r="438" ht="15.75" spans="1:7">
      <c r="A438" s="257" t="s">
        <v>205</v>
      </c>
      <c r="B438" s="257"/>
      <c r="C438" s="79">
        <f t="shared" si="12"/>
        <v>0</v>
      </c>
      <c r="D438" s="116"/>
      <c r="E438" s="80"/>
      <c r="F438" s="81"/>
      <c r="G438" s="81"/>
    </row>
    <row r="439" ht="15.75" spans="1:7">
      <c r="A439" s="257" t="s">
        <v>206</v>
      </c>
      <c r="B439" s="257"/>
      <c r="C439" s="79">
        <f t="shared" si="12"/>
        <v>0</v>
      </c>
      <c r="D439" s="116"/>
      <c r="E439" s="80"/>
      <c r="F439" s="81"/>
      <c r="G439" s="81"/>
    </row>
    <row r="440" ht="15.75" spans="1:7">
      <c r="A440" s="257" t="s">
        <v>207</v>
      </c>
      <c r="B440" s="257"/>
      <c r="C440" s="79">
        <f t="shared" si="12"/>
        <v>0</v>
      </c>
      <c r="D440" s="116"/>
      <c r="E440" s="80"/>
      <c r="F440" s="81"/>
      <c r="G440" s="81"/>
    </row>
    <row r="441" ht="15.75" spans="1:7">
      <c r="A441" s="257" t="s">
        <v>208</v>
      </c>
      <c r="B441" s="257"/>
      <c r="C441" s="79">
        <f t="shared" si="12"/>
        <v>0</v>
      </c>
      <c r="D441" s="116"/>
      <c r="E441" s="80"/>
      <c r="F441" s="81"/>
      <c r="G441" s="81"/>
    </row>
    <row r="442" ht="15.75" spans="1:7">
      <c r="A442" s="257" t="s">
        <v>209</v>
      </c>
      <c r="B442" s="257"/>
      <c r="C442" s="79">
        <f t="shared" si="12"/>
        <v>0</v>
      </c>
      <c r="D442" s="116"/>
      <c r="E442" s="80"/>
      <c r="F442" s="81"/>
      <c r="G442" s="81"/>
    </row>
    <row r="443" ht="15.75" spans="1:7">
      <c r="A443" s="257" t="s">
        <v>210</v>
      </c>
      <c r="B443" s="257"/>
      <c r="C443" s="79">
        <f t="shared" si="12"/>
        <v>0</v>
      </c>
      <c r="D443" s="116"/>
      <c r="E443" s="80"/>
      <c r="F443" s="81"/>
      <c r="G443" s="81"/>
    </row>
    <row r="444" ht="15.75" spans="1:7">
      <c r="A444" s="257" t="s">
        <v>211</v>
      </c>
      <c r="B444" s="257"/>
      <c r="C444" s="79">
        <f t="shared" si="12"/>
        <v>0</v>
      </c>
      <c r="D444" s="116"/>
      <c r="E444" s="80"/>
      <c r="F444" s="81"/>
      <c r="G444" s="81"/>
    </row>
    <row r="445" ht="15.75" spans="1:7">
      <c r="A445" s="257" t="s">
        <v>212</v>
      </c>
      <c r="B445" s="257"/>
      <c r="C445" s="79">
        <f t="shared" si="12"/>
        <v>0</v>
      </c>
      <c r="D445" s="116"/>
      <c r="E445" s="80"/>
      <c r="F445" s="81"/>
      <c r="G445" s="81"/>
    </row>
    <row r="446" ht="15.75" spans="1:7">
      <c r="A446" s="257" t="s">
        <v>213</v>
      </c>
      <c r="B446" s="257"/>
      <c r="C446" s="79">
        <f t="shared" si="12"/>
        <v>0</v>
      </c>
      <c r="D446" s="116"/>
      <c r="E446" s="80"/>
      <c r="F446" s="81"/>
      <c r="G446" s="81"/>
    </row>
    <row r="447" ht="15.75" spans="1:7">
      <c r="A447" s="257" t="s">
        <v>214</v>
      </c>
      <c r="B447" s="257"/>
      <c r="C447" s="79">
        <f t="shared" si="12"/>
        <v>0</v>
      </c>
      <c r="D447" s="116"/>
      <c r="E447" s="80"/>
      <c r="F447" s="81"/>
      <c r="G447" s="81"/>
    </row>
    <row r="448" ht="15.75" spans="1:7">
      <c r="A448" s="257" t="s">
        <v>215</v>
      </c>
      <c r="B448" s="257"/>
      <c r="C448" s="79">
        <f t="shared" si="12"/>
        <v>0</v>
      </c>
      <c r="D448" s="116"/>
      <c r="E448" s="80"/>
      <c r="F448" s="81"/>
      <c r="G448" s="81"/>
    </row>
    <row r="449" ht="15.75" spans="1:7">
      <c r="A449" s="257" t="s">
        <v>216</v>
      </c>
      <c r="B449" s="257"/>
      <c r="C449" s="79">
        <f t="shared" si="12"/>
        <v>0</v>
      </c>
      <c r="D449" s="116"/>
      <c r="E449" s="80"/>
      <c r="F449" s="81"/>
      <c r="G449" s="81"/>
    </row>
    <row r="450" ht="15.75" spans="1:7">
      <c r="A450" s="257" t="s">
        <v>217</v>
      </c>
      <c r="B450" s="257"/>
      <c r="C450" s="79">
        <f t="shared" si="12"/>
        <v>0</v>
      </c>
      <c r="D450" s="116"/>
      <c r="E450" s="80"/>
      <c r="F450" s="81"/>
      <c r="G450" s="81"/>
    </row>
    <row r="451" ht="15.75" spans="1:7">
      <c r="A451" s="257" t="s">
        <v>218</v>
      </c>
      <c r="B451" s="257"/>
      <c r="C451" s="79">
        <f t="shared" si="12"/>
        <v>0</v>
      </c>
      <c r="D451" s="116"/>
      <c r="E451" s="80"/>
      <c r="F451" s="81"/>
      <c r="G451" s="81"/>
    </row>
    <row r="452" ht="15.75" spans="1:7">
      <c r="A452" s="257" t="s">
        <v>219</v>
      </c>
      <c r="B452" s="257"/>
      <c r="C452" s="79">
        <f t="shared" si="12"/>
        <v>0</v>
      </c>
      <c r="D452" s="116"/>
      <c r="E452" s="80"/>
      <c r="F452" s="81"/>
      <c r="G452" s="81"/>
    </row>
    <row r="453" ht="15.75" spans="1:7">
      <c r="A453" s="257" t="s">
        <v>220</v>
      </c>
      <c r="B453" s="257"/>
      <c r="D453" s="116"/>
      <c r="E453" s="80"/>
      <c r="F453" s="81"/>
      <c r="G453" s="81"/>
    </row>
    <row r="454" ht="15.75" spans="1:7">
      <c r="A454" s="257" t="s">
        <v>221</v>
      </c>
      <c r="B454" s="257"/>
      <c r="D454" s="116"/>
      <c r="E454" s="80"/>
      <c r="F454" s="81"/>
      <c r="G454" s="81"/>
    </row>
    <row r="455" ht="15.75" spans="1:7">
      <c r="A455" s="257" t="s">
        <v>221</v>
      </c>
      <c r="B455" s="257"/>
      <c r="D455" s="260"/>
      <c r="E455" s="72"/>
      <c r="F455" s="73"/>
      <c r="G455" s="84"/>
    </row>
    <row r="456" ht="15.75" spans="1:7">
      <c r="A456" s="257"/>
      <c r="B456" s="257"/>
      <c r="D456" s="116"/>
      <c r="E456" s="261"/>
      <c r="F456" s="262"/>
      <c r="G456" s="262"/>
    </row>
    <row r="457" ht="48.75" spans="1:7">
      <c r="A457" s="256" t="s">
        <v>233</v>
      </c>
      <c r="B457" s="257"/>
      <c r="D457" s="116"/>
      <c r="E457" s="263"/>
      <c r="F457" s="264"/>
      <c r="G457" s="265"/>
    </row>
    <row r="458" ht="48.75" spans="1:7">
      <c r="A458" s="256" t="s">
        <v>224</v>
      </c>
      <c r="B458" s="116"/>
      <c r="D458" s="72"/>
      <c r="E458" s="72"/>
      <c r="F458" s="73"/>
      <c r="G458" s="73"/>
    </row>
    <row r="459" ht="84.75" spans="1:7">
      <c r="A459" s="266" t="s">
        <v>225</v>
      </c>
      <c r="B459" s="116"/>
      <c r="D459" s="72"/>
      <c r="E459" s="72">
        <f>0.6*E457</f>
        <v>0</v>
      </c>
      <c r="F459" s="73">
        <f>0.6*F457</f>
        <v>0</v>
      </c>
      <c r="G459" s="73"/>
    </row>
    <row r="462" spans="1:2">
      <c r="A462" s="531" t="s">
        <v>226</v>
      </c>
      <c r="B462" s="95" t="e">
        <f>AVERAGE(B410:B449)</f>
        <v>#DIV/0!</v>
      </c>
    </row>
    <row r="463" spans="1:2">
      <c r="A463" s="531" t="s">
        <v>227</v>
      </c>
      <c r="B463" s="96" t="e">
        <f>AVERAGE(B415:B444)</f>
        <v>#DIV/0!</v>
      </c>
    </row>
    <row r="464" spans="1:2">
      <c r="A464" s="531" t="s">
        <v>228</v>
      </c>
      <c r="B464" s="96" t="e">
        <f>AVERAGE(B421:B439)</f>
        <v>#DIV/0!</v>
      </c>
    </row>
  </sheetData>
  <mergeCells count="14">
    <mergeCell ref="B2:D2"/>
    <mergeCell ref="B69:D69"/>
    <mergeCell ref="B134:D134"/>
    <mergeCell ref="B200:D200"/>
    <mergeCell ref="B266:D266"/>
    <mergeCell ref="B333:D333"/>
    <mergeCell ref="B401:D401"/>
    <mergeCell ref="A2:A4"/>
    <mergeCell ref="A69:A71"/>
    <mergeCell ref="A134:A136"/>
    <mergeCell ref="A200:A202"/>
    <mergeCell ref="A266:A268"/>
    <mergeCell ref="A333:A335"/>
    <mergeCell ref="A401:A403"/>
  </mergeCells>
  <pageMargins left="0.7" right="0.7" top="0.75" bottom="0.75" header="0.3" footer="0.3"/>
  <pageSetup paperSize="9" orientation="portrait"/>
  <headerFooter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Лист10">
    <tabColor rgb="FF92D050"/>
  </sheetPr>
  <dimension ref="A1:J464"/>
  <sheetViews>
    <sheetView topLeftCell="A451" workbookViewId="0">
      <selection activeCell="E293" sqref="E293"/>
    </sheetView>
  </sheetViews>
  <sheetFormatPr defaultColWidth="8.72380952380952" defaultRowHeight="15"/>
  <cols>
    <col min="3" max="3" width="9.18095238095238"/>
    <col min="5" max="5" width="9.45714285714286" customWidth="1"/>
    <col min="6" max="6" width="8.72380952380952" style="64"/>
    <col min="7" max="7" width="9.45714285714286" style="64" customWidth="1"/>
  </cols>
  <sheetData>
    <row r="1" ht="15.75" spans="4:6">
      <c r="D1" s="65">
        <v>0.1</v>
      </c>
      <c r="E1" s="65">
        <v>0.4</v>
      </c>
      <c r="F1" s="70"/>
    </row>
    <row r="2" ht="23.25" customHeight="1" spans="1:7">
      <c r="A2" s="252" t="s">
        <v>165</v>
      </c>
      <c r="B2" s="67" t="s">
        <v>166</v>
      </c>
      <c r="C2" s="68"/>
      <c r="D2" s="69"/>
      <c r="F2" s="70"/>
      <c r="G2" s="70"/>
    </row>
    <row r="3" ht="72.75" spans="1:7">
      <c r="A3" s="253"/>
      <c r="B3" s="72" t="s">
        <v>167</v>
      </c>
      <c r="C3" s="72"/>
      <c r="D3" s="72" t="s">
        <v>168</v>
      </c>
      <c r="E3" s="72" t="s">
        <v>169</v>
      </c>
      <c r="F3" s="73" t="s">
        <v>169</v>
      </c>
      <c r="G3" s="73"/>
    </row>
    <row r="4" ht="16.5" customHeight="1" spans="1:7">
      <c r="A4" s="254"/>
      <c r="B4" s="72" t="s">
        <v>170</v>
      </c>
      <c r="C4" s="72"/>
      <c r="D4" s="72" t="s">
        <v>171</v>
      </c>
      <c r="E4" s="72" t="s">
        <v>171</v>
      </c>
      <c r="F4" s="73" t="s">
        <v>171</v>
      </c>
      <c r="G4" s="73"/>
    </row>
    <row r="5" spans="1:7">
      <c r="A5" s="75">
        <v>1</v>
      </c>
      <c r="B5" s="76">
        <v>2</v>
      </c>
      <c r="C5" s="76"/>
      <c r="D5" s="76">
        <v>3</v>
      </c>
      <c r="E5" s="76">
        <v>4</v>
      </c>
      <c r="F5" s="77">
        <v>5</v>
      </c>
      <c r="G5" s="77"/>
    </row>
    <row r="6" spans="1:7">
      <c r="A6" s="530" t="s">
        <v>172</v>
      </c>
      <c r="B6" s="137">
        <v>3.06</v>
      </c>
      <c r="C6" s="79">
        <v>0</v>
      </c>
      <c r="D6" s="80">
        <v>0</v>
      </c>
      <c r="E6" s="80">
        <v>0</v>
      </c>
      <c r="F6" s="81">
        <v>0</v>
      </c>
      <c r="G6" s="81">
        <v>0</v>
      </c>
    </row>
    <row r="7" spans="1:7">
      <c r="A7" s="530" t="s">
        <v>173</v>
      </c>
      <c r="B7" s="295">
        <v>5.16</v>
      </c>
      <c r="C7" s="79">
        <f>B6</f>
        <v>3.06</v>
      </c>
      <c r="D7" s="80">
        <v>0</v>
      </c>
      <c r="E7" s="80">
        <v>0</v>
      </c>
      <c r="F7" s="81">
        <v>0</v>
      </c>
      <c r="G7" s="81">
        <v>0</v>
      </c>
    </row>
    <row r="8" spans="1:7">
      <c r="A8" s="530" t="s">
        <v>174</v>
      </c>
      <c r="B8" s="296">
        <v>7.11</v>
      </c>
      <c r="C8" s="79">
        <f t="shared" ref="C8:C56" si="0">B7</f>
        <v>5.16</v>
      </c>
      <c r="D8" s="80">
        <v>0</v>
      </c>
      <c r="E8" s="80">
        <v>0</v>
      </c>
      <c r="F8" s="81">
        <v>0</v>
      </c>
      <c r="G8" s="81">
        <v>0.0156118143459916</v>
      </c>
    </row>
    <row r="9" spans="1:7">
      <c r="A9" s="530" t="s">
        <v>175</v>
      </c>
      <c r="B9" s="296">
        <v>8.95</v>
      </c>
      <c r="C9" s="79">
        <f t="shared" si="0"/>
        <v>7.11</v>
      </c>
      <c r="D9" s="80">
        <v>0</v>
      </c>
      <c r="E9" s="80">
        <v>0</v>
      </c>
      <c r="F9" s="81">
        <v>0</v>
      </c>
      <c r="G9" s="81">
        <v>0.0329608938547486</v>
      </c>
    </row>
    <row r="10" spans="1:7">
      <c r="A10" s="530" t="s">
        <v>176</v>
      </c>
      <c r="B10" s="296">
        <v>10.95</v>
      </c>
      <c r="C10" s="79">
        <f t="shared" si="0"/>
        <v>8.95</v>
      </c>
      <c r="D10" s="80">
        <v>0</v>
      </c>
      <c r="E10" s="80">
        <v>0</v>
      </c>
      <c r="F10" s="81">
        <v>0</v>
      </c>
      <c r="G10" s="81">
        <v>0.0712328767123288</v>
      </c>
    </row>
    <row r="11" spans="1:7">
      <c r="A11" s="530" t="s">
        <v>177</v>
      </c>
      <c r="B11" s="296">
        <v>12.95</v>
      </c>
      <c r="C11" s="79">
        <f t="shared" si="0"/>
        <v>10.95</v>
      </c>
      <c r="D11" s="80">
        <v>0</v>
      </c>
      <c r="E11" s="80">
        <v>0</v>
      </c>
      <c r="F11" s="81">
        <v>0</v>
      </c>
      <c r="G11" s="81">
        <v>0.122007722007722</v>
      </c>
    </row>
    <row r="12" spans="1:7">
      <c r="A12" s="530" t="s">
        <v>178</v>
      </c>
      <c r="B12" s="296">
        <v>14.81</v>
      </c>
      <c r="C12" s="79">
        <f t="shared" si="0"/>
        <v>12.95</v>
      </c>
      <c r="D12" s="80">
        <v>0</v>
      </c>
      <c r="E12" s="80">
        <v>0</v>
      </c>
      <c r="F12" s="81">
        <v>0</v>
      </c>
      <c r="G12" s="81">
        <v>0.156920999324781</v>
      </c>
    </row>
    <row r="13" spans="1:7">
      <c r="A13" s="78" t="s">
        <v>179</v>
      </c>
      <c r="B13" s="296">
        <v>16.68</v>
      </c>
      <c r="C13" s="79">
        <f t="shared" si="0"/>
        <v>14.81</v>
      </c>
      <c r="D13" s="80">
        <v>0</v>
      </c>
      <c r="E13" s="80">
        <v>0</v>
      </c>
      <c r="F13" s="81">
        <v>0</v>
      </c>
      <c r="G13" s="81">
        <v>0.184172661870504</v>
      </c>
    </row>
    <row r="14" spans="1:7">
      <c r="A14" s="78" t="s">
        <v>180</v>
      </c>
      <c r="B14" s="296">
        <v>18.61</v>
      </c>
      <c r="C14" s="79">
        <f t="shared" si="0"/>
        <v>16.68</v>
      </c>
      <c r="D14" s="80">
        <v>0</v>
      </c>
      <c r="E14" s="80">
        <v>0</v>
      </c>
      <c r="F14" s="81">
        <v>0</v>
      </c>
      <c r="G14" s="81">
        <v>0.206555615260613</v>
      </c>
    </row>
    <row r="15" spans="1:7">
      <c r="A15" s="78" t="s">
        <v>181</v>
      </c>
      <c r="B15" s="296">
        <v>20.45</v>
      </c>
      <c r="C15" s="79">
        <f t="shared" si="0"/>
        <v>18.61</v>
      </c>
      <c r="D15" s="80">
        <v>0</v>
      </c>
      <c r="E15" s="80">
        <v>0</v>
      </c>
      <c r="F15" s="81">
        <v>0</v>
      </c>
      <c r="G15" s="81">
        <v>0.223960880195599</v>
      </c>
    </row>
    <row r="16" spans="1:7">
      <c r="A16" s="78" t="s">
        <v>182</v>
      </c>
      <c r="B16" s="296">
        <v>22.29</v>
      </c>
      <c r="C16" s="79">
        <f t="shared" si="0"/>
        <v>20.45</v>
      </c>
      <c r="D16" s="80">
        <v>0</v>
      </c>
      <c r="E16" s="80">
        <v>0</v>
      </c>
      <c r="F16" s="81">
        <v>0</v>
      </c>
      <c r="G16" s="81">
        <v>0.238492597577389</v>
      </c>
    </row>
    <row r="17" spans="1:7">
      <c r="A17" s="78" t="s">
        <v>183</v>
      </c>
      <c r="B17" s="296">
        <v>23.96</v>
      </c>
      <c r="C17" s="79">
        <f t="shared" si="0"/>
        <v>22.29</v>
      </c>
      <c r="D17" s="80">
        <v>0</v>
      </c>
      <c r="E17" s="80">
        <v>0</v>
      </c>
      <c r="F17" s="81">
        <v>0</v>
      </c>
      <c r="G17" s="81">
        <v>0.24974958263773</v>
      </c>
    </row>
    <row r="18" spans="1:7">
      <c r="A18" s="78" t="s">
        <v>184</v>
      </c>
      <c r="B18" s="296">
        <v>25.94</v>
      </c>
      <c r="C18" s="79">
        <f t="shared" si="0"/>
        <v>23.96</v>
      </c>
      <c r="D18" s="80">
        <v>0</v>
      </c>
      <c r="E18" s="80">
        <v>0</v>
      </c>
      <c r="F18" s="81">
        <v>0</v>
      </c>
      <c r="G18" s="81">
        <v>0.261218195836546</v>
      </c>
    </row>
    <row r="19" spans="1:7">
      <c r="A19" s="78" t="s">
        <v>185</v>
      </c>
      <c r="B19" s="296">
        <v>27.77</v>
      </c>
      <c r="C19" s="79">
        <f t="shared" si="0"/>
        <v>25.94</v>
      </c>
      <c r="D19" s="80">
        <v>0</v>
      </c>
      <c r="E19" s="80">
        <v>0</v>
      </c>
      <c r="F19" s="81">
        <v>0</v>
      </c>
      <c r="G19" s="81">
        <v>0.270363701836514</v>
      </c>
    </row>
    <row r="20" spans="1:7">
      <c r="A20" s="78" t="s">
        <v>186</v>
      </c>
      <c r="B20" s="296">
        <v>29.26</v>
      </c>
      <c r="C20" s="79">
        <f t="shared" si="0"/>
        <v>27.77</v>
      </c>
      <c r="D20" s="80">
        <v>0</v>
      </c>
      <c r="E20" s="80">
        <v>0</v>
      </c>
      <c r="F20" s="81">
        <v>0</v>
      </c>
      <c r="G20" s="81">
        <v>0.276965140123035</v>
      </c>
    </row>
    <row r="21" spans="1:7">
      <c r="A21" s="78" t="s">
        <v>187</v>
      </c>
      <c r="B21" s="296">
        <v>30.88</v>
      </c>
      <c r="C21" s="79">
        <f t="shared" si="0"/>
        <v>29.26</v>
      </c>
      <c r="D21" s="80">
        <v>0</v>
      </c>
      <c r="E21" s="80">
        <v>0</v>
      </c>
      <c r="F21" s="81">
        <v>0</v>
      </c>
      <c r="G21" s="81">
        <v>0.283419689119171</v>
      </c>
    </row>
    <row r="22" spans="1:7">
      <c r="A22" s="78" t="s">
        <v>188</v>
      </c>
      <c r="B22" s="296">
        <v>32.65</v>
      </c>
      <c r="C22" s="79">
        <f t="shared" si="0"/>
        <v>30.88</v>
      </c>
      <c r="D22" s="80">
        <v>0</v>
      </c>
      <c r="E22" s="80">
        <v>0</v>
      </c>
      <c r="F22" s="81">
        <v>0</v>
      </c>
      <c r="G22" s="81">
        <v>0.289739663093415</v>
      </c>
    </row>
    <row r="23" spans="1:7">
      <c r="A23" s="78" t="s">
        <v>189</v>
      </c>
      <c r="B23" s="296">
        <v>34.46</v>
      </c>
      <c r="C23" s="79">
        <f t="shared" si="0"/>
        <v>32.65</v>
      </c>
      <c r="D23" s="80">
        <v>0</v>
      </c>
      <c r="E23" s="80">
        <v>0</v>
      </c>
      <c r="F23" s="81">
        <v>0.00360127684271619</v>
      </c>
      <c r="G23" s="81">
        <v>0.295531050493326</v>
      </c>
    </row>
    <row r="24" spans="1:7">
      <c r="A24" s="78" t="s">
        <v>190</v>
      </c>
      <c r="B24" s="296">
        <v>36.51</v>
      </c>
      <c r="C24" s="79">
        <f t="shared" si="0"/>
        <v>34.46</v>
      </c>
      <c r="D24" s="80">
        <v>0</v>
      </c>
      <c r="E24" s="80">
        <v>0</v>
      </c>
      <c r="F24" s="81">
        <v>0.00901396877567789</v>
      </c>
      <c r="G24" s="81">
        <v>0.30139687756779</v>
      </c>
    </row>
    <row r="25" spans="1:7">
      <c r="A25" s="78" t="s">
        <v>191</v>
      </c>
      <c r="B25" s="296">
        <v>38.62</v>
      </c>
      <c r="C25" s="79">
        <f t="shared" si="0"/>
        <v>36.51</v>
      </c>
      <c r="D25" s="80">
        <v>0.0119575349559811</v>
      </c>
      <c r="E25" s="80"/>
      <c r="F25" s="81"/>
      <c r="G25" s="81"/>
    </row>
    <row r="26" spans="1:7">
      <c r="A26" s="78" t="s">
        <v>192</v>
      </c>
      <c r="B26" s="296">
        <v>40.61</v>
      </c>
      <c r="C26" s="79">
        <f t="shared" si="0"/>
        <v>38.62</v>
      </c>
      <c r="D26" s="80">
        <v>0.0603742920462938</v>
      </c>
      <c r="E26" s="80"/>
      <c r="F26" s="81"/>
      <c r="G26" s="81"/>
    </row>
    <row r="27" spans="1:7">
      <c r="A27" s="78" t="s">
        <v>193</v>
      </c>
      <c r="B27" s="296">
        <v>42.7</v>
      </c>
      <c r="C27" s="79">
        <f t="shared" si="0"/>
        <v>40.61</v>
      </c>
      <c r="D27" s="80">
        <v>0.106365339578454</v>
      </c>
      <c r="E27" s="80">
        <v>0.0106365339578454</v>
      </c>
      <c r="F27" s="81">
        <v>0.0222037470725995</v>
      </c>
      <c r="G27" s="81">
        <v>0.315690866510539</v>
      </c>
    </row>
    <row r="28" spans="1:7">
      <c r="A28" s="78" t="s">
        <v>194</v>
      </c>
      <c r="B28" s="296">
        <v>44.79</v>
      </c>
      <c r="C28" s="79">
        <f t="shared" si="0"/>
        <v>42.7</v>
      </c>
      <c r="D28" s="80">
        <v>0.148064300066979</v>
      </c>
      <c r="E28" s="80">
        <v>0.0148064300066979</v>
      </c>
      <c r="F28" s="81">
        <v>0.025833891493637</v>
      </c>
      <c r="G28" s="81">
        <v>0.319624916275954</v>
      </c>
    </row>
    <row r="29" spans="1:7">
      <c r="A29" s="78" t="s">
        <v>195</v>
      </c>
      <c r="B29" s="296">
        <v>46.71</v>
      </c>
      <c r="C29" s="79">
        <f t="shared" si="0"/>
        <v>44.79</v>
      </c>
      <c r="D29" s="80">
        <v>0.183082851637765</v>
      </c>
      <c r="E29" s="80">
        <v>0.0183082851637765</v>
      </c>
      <c r="F29" s="81">
        <v>0.0288824662813102</v>
      </c>
      <c r="G29" s="81">
        <v>0.322928709055877</v>
      </c>
    </row>
    <row r="30" spans="1:7">
      <c r="A30" s="78" t="s">
        <v>196</v>
      </c>
      <c r="B30" s="296">
        <v>48.85</v>
      </c>
      <c r="C30" s="79">
        <f t="shared" si="0"/>
        <v>46.71</v>
      </c>
      <c r="D30" s="80">
        <v>0.218870010235414</v>
      </c>
      <c r="E30" s="80">
        <v>0.0218870010235414</v>
      </c>
      <c r="F30" s="81">
        <v>0.0319979529170931</v>
      </c>
      <c r="G30" s="81">
        <v>0.326305015353122</v>
      </c>
    </row>
    <row r="31" spans="1:7">
      <c r="A31" s="78" t="s">
        <v>197</v>
      </c>
      <c r="B31" s="296">
        <v>51.06</v>
      </c>
      <c r="C31" s="79">
        <f t="shared" si="0"/>
        <v>48.85</v>
      </c>
      <c r="D31" s="80">
        <v>0.25267920094007</v>
      </c>
      <c r="E31" s="80">
        <v>0.025267920094007</v>
      </c>
      <c r="F31" s="81">
        <v>0.0349412455934195</v>
      </c>
      <c r="G31" s="81">
        <v>0.329494712103408</v>
      </c>
    </row>
    <row r="32" spans="1:7">
      <c r="A32" s="78" t="s">
        <v>198</v>
      </c>
      <c r="B32" s="296">
        <v>53.36</v>
      </c>
      <c r="C32" s="79">
        <f t="shared" si="0"/>
        <v>51.06</v>
      </c>
      <c r="D32" s="80">
        <v>0.284891304347826</v>
      </c>
      <c r="E32" s="80">
        <v>0.0284891304347826</v>
      </c>
      <c r="F32" s="81">
        <v>0.0377455022488756</v>
      </c>
      <c r="G32" s="81">
        <v>0.332533733133433</v>
      </c>
    </row>
    <row r="33" spans="1:7">
      <c r="A33" s="78" t="s">
        <v>199</v>
      </c>
      <c r="B33" s="296">
        <v>55.7</v>
      </c>
      <c r="C33" s="79">
        <f t="shared" si="0"/>
        <v>53.36</v>
      </c>
      <c r="D33" s="80">
        <v>0.314933572710951</v>
      </c>
      <c r="E33" s="80">
        <v>0.0314933572710951</v>
      </c>
      <c r="F33" s="81">
        <v>0.042165170556553</v>
      </c>
      <c r="G33" s="81">
        <v>0.335368043087971</v>
      </c>
    </row>
    <row r="34" spans="1:7">
      <c r="A34" s="78" t="s">
        <v>200</v>
      </c>
      <c r="B34" s="296">
        <v>58.57</v>
      </c>
      <c r="C34" s="79">
        <f t="shared" si="0"/>
        <v>55.7</v>
      </c>
      <c r="D34" s="80">
        <v>0.34850264640601</v>
      </c>
      <c r="E34" s="80">
        <v>0.034850264640601</v>
      </c>
      <c r="F34" s="81">
        <v>0.0596995048659723</v>
      </c>
      <c r="G34" s="81">
        <v>0.338535086221615</v>
      </c>
    </row>
    <row r="35" spans="1:7">
      <c r="A35" s="78" t="s">
        <v>201</v>
      </c>
      <c r="B35" s="296">
        <v>61.4</v>
      </c>
      <c r="C35" s="79">
        <f t="shared" si="0"/>
        <v>58.57</v>
      </c>
      <c r="D35" s="80">
        <v>0.378530944625407</v>
      </c>
      <c r="E35" s="80">
        <v>0.0378530944625407</v>
      </c>
      <c r="F35" s="81">
        <v>0.0753843648208469</v>
      </c>
      <c r="G35" s="81">
        <v>0.341368078175896</v>
      </c>
    </row>
    <row r="36" spans="1:7">
      <c r="A36" s="78" t="s">
        <v>202</v>
      </c>
      <c r="B36" s="296">
        <v>64.17</v>
      </c>
      <c r="C36" s="79">
        <f t="shared" si="0"/>
        <v>61.4</v>
      </c>
      <c r="D36" s="80">
        <v>0.405357643758766</v>
      </c>
      <c r="E36" s="80">
        <v>0.0432145862552594</v>
      </c>
      <c r="F36" s="81">
        <v>0.0893969144460028</v>
      </c>
      <c r="G36" s="81">
        <v>0.343899018232819</v>
      </c>
    </row>
    <row r="37" spans="1:7">
      <c r="A37" s="78" t="s">
        <v>203</v>
      </c>
      <c r="B37" s="296">
        <v>67.73</v>
      </c>
      <c r="C37" s="79">
        <f t="shared" si="0"/>
        <v>64.17</v>
      </c>
      <c r="D37" s="80">
        <v>0.436613022294404</v>
      </c>
      <c r="E37" s="80">
        <v>0.0619678133766425</v>
      </c>
      <c r="F37" s="81">
        <v>0.10572272257493</v>
      </c>
      <c r="G37" s="81">
        <v>0.346847777941828</v>
      </c>
    </row>
    <row r="38" spans="1:7">
      <c r="A38" s="78" t="s">
        <v>204</v>
      </c>
      <c r="B38" s="296">
        <v>71.49</v>
      </c>
      <c r="C38" s="79">
        <f t="shared" si="0"/>
        <v>67.73</v>
      </c>
      <c r="D38" s="80">
        <v>0.466244229962232</v>
      </c>
      <c r="E38" s="80">
        <v>0.0797465379773394</v>
      </c>
      <c r="F38" s="81">
        <v>0.121200167855644</v>
      </c>
      <c r="G38" s="81">
        <v>0.34964330675619</v>
      </c>
    </row>
    <row r="39" spans="1:7">
      <c r="A39" s="78" t="s">
        <v>205</v>
      </c>
      <c r="B39" s="296">
        <v>75.86</v>
      </c>
      <c r="C39" s="79">
        <f t="shared" si="0"/>
        <v>71.49</v>
      </c>
      <c r="D39" s="80">
        <v>0.496991827049829</v>
      </c>
      <c r="E39" s="80">
        <v>0.0981950962298971</v>
      </c>
      <c r="F39" s="81">
        <v>0.137260743474822</v>
      </c>
      <c r="G39" s="81">
        <v>0.352544160295281</v>
      </c>
    </row>
    <row r="40" spans="1:7">
      <c r="A40" s="78" t="s">
        <v>206</v>
      </c>
      <c r="B40" s="296">
        <v>80.25</v>
      </c>
      <c r="C40" s="79">
        <f t="shared" si="0"/>
        <v>75.86</v>
      </c>
      <c r="D40" s="80">
        <v>0.524508411214953</v>
      </c>
      <c r="E40" s="80">
        <v>0.114705046728972</v>
      </c>
      <c r="F40" s="81">
        <v>0.151633644859813</v>
      </c>
      <c r="G40" s="81">
        <v>0.355140186915888</v>
      </c>
    </row>
    <row r="41" spans="1:7">
      <c r="A41" s="78" t="s">
        <v>207</v>
      </c>
      <c r="B41" s="296">
        <v>84.92</v>
      </c>
      <c r="C41" s="79">
        <f t="shared" si="0"/>
        <v>80.25</v>
      </c>
      <c r="D41" s="80">
        <v>0.550657089024965</v>
      </c>
      <c r="E41" s="80">
        <v>0.130394253414979</v>
      </c>
      <c r="F41" s="81">
        <v>0.165292039566651</v>
      </c>
      <c r="G41" s="81">
        <v>0.357607159679699</v>
      </c>
    </row>
    <row r="42" spans="1:7">
      <c r="A42" s="78" t="s">
        <v>208</v>
      </c>
      <c r="B42" s="296">
        <v>91.2</v>
      </c>
      <c r="C42" s="79">
        <f t="shared" si="0"/>
        <v>84.92</v>
      </c>
      <c r="D42" s="80">
        <v>0.581598684210526</v>
      </c>
      <c r="E42" s="80">
        <v>0.148959210526316</v>
      </c>
      <c r="F42" s="81">
        <v>0.181453947368421</v>
      </c>
      <c r="G42" s="81">
        <v>0.360526315789474</v>
      </c>
    </row>
    <row r="43" spans="1:7">
      <c r="A43" s="78" t="s">
        <v>209</v>
      </c>
      <c r="B43" s="296">
        <v>98.61</v>
      </c>
      <c r="C43" s="79">
        <f t="shared" si="0"/>
        <v>91.2</v>
      </c>
      <c r="D43" s="80">
        <v>0.613039245512625</v>
      </c>
      <c r="E43" s="80">
        <v>0.167823547307575</v>
      </c>
      <c r="F43" s="81">
        <v>0.197876483115303</v>
      </c>
      <c r="G43" s="81">
        <v>0.363492546394889</v>
      </c>
    </row>
    <row r="44" spans="1:7">
      <c r="A44" s="78" t="s">
        <v>210</v>
      </c>
      <c r="B44" s="296">
        <v>105.67</v>
      </c>
      <c r="C44" s="79">
        <f t="shared" si="0"/>
        <v>98.61</v>
      </c>
      <c r="D44" s="80">
        <v>0.63889277940759</v>
      </c>
      <c r="E44" s="80">
        <v>0.183335667644554</v>
      </c>
      <c r="F44" s="81">
        <v>0.21138071354216</v>
      </c>
      <c r="G44" s="81">
        <v>0.365931674079682</v>
      </c>
    </row>
    <row r="45" spans="1:7">
      <c r="A45" s="78" t="s">
        <v>211</v>
      </c>
      <c r="B45" s="296">
        <v>114.96</v>
      </c>
      <c r="C45" s="79">
        <f t="shared" si="0"/>
        <v>105.67</v>
      </c>
      <c r="D45" s="80">
        <v>0.668074112734864</v>
      </c>
      <c r="E45" s="80">
        <v>0.200844467640919</v>
      </c>
      <c r="F45" s="81">
        <v>0.226623173277662</v>
      </c>
      <c r="G45" s="81">
        <v>0.368684759916493</v>
      </c>
    </row>
    <row r="46" spans="1:7">
      <c r="A46" s="78" t="s">
        <v>212</v>
      </c>
      <c r="B46" s="296">
        <v>124.4</v>
      </c>
      <c r="C46" s="79">
        <f t="shared" si="0"/>
        <v>114.96</v>
      </c>
      <c r="D46" s="80">
        <v>0.693262057877813</v>
      </c>
      <c r="E46" s="80">
        <v>0.215957234726688</v>
      </c>
      <c r="F46" s="81">
        <v>0.239779742765273</v>
      </c>
      <c r="G46" s="81">
        <v>0.371061093247588</v>
      </c>
    </row>
    <row r="47" spans="1:7">
      <c r="A47" s="78" t="s">
        <v>213</v>
      </c>
      <c r="B47" s="296">
        <v>136.87</v>
      </c>
      <c r="C47" s="79">
        <f t="shared" si="0"/>
        <v>124.4</v>
      </c>
      <c r="D47" s="80">
        <v>0.721208445970629</v>
      </c>
      <c r="E47" s="80">
        <v>0.232725067582377</v>
      </c>
      <c r="F47" s="81">
        <v>0.254377146197121</v>
      </c>
      <c r="G47" s="81">
        <v>0.373697669321254</v>
      </c>
    </row>
    <row r="48" spans="1:7">
      <c r="A48" s="78" t="s">
        <v>214</v>
      </c>
      <c r="B48" s="296">
        <v>153.73</v>
      </c>
      <c r="C48" s="79">
        <f t="shared" si="0"/>
        <v>136.87</v>
      </c>
      <c r="D48" s="80">
        <v>0.751784297144344</v>
      </c>
      <c r="E48" s="80">
        <v>0.251070578286606</v>
      </c>
      <c r="F48" s="81">
        <v>0.270348012749626</v>
      </c>
      <c r="G48" s="81">
        <v>0.376582319651337</v>
      </c>
    </row>
    <row r="49" spans="1:7">
      <c r="A49" s="78" t="s">
        <v>215</v>
      </c>
      <c r="B49" s="296">
        <v>176.78</v>
      </c>
      <c r="C49" s="79">
        <f t="shared" si="0"/>
        <v>153.73</v>
      </c>
      <c r="D49" s="80">
        <v>0.784148659350605</v>
      </c>
      <c r="E49" s="80">
        <v>0.270489195610363</v>
      </c>
      <c r="F49" s="81">
        <v>0.287253082927933</v>
      </c>
      <c r="G49" s="81">
        <v>0.379635705396538</v>
      </c>
    </row>
    <row r="50" spans="1:7">
      <c r="A50" s="78" t="s">
        <v>216</v>
      </c>
      <c r="B50" s="296">
        <v>207.65</v>
      </c>
      <c r="C50" s="79">
        <f t="shared" si="0"/>
        <v>176.78</v>
      </c>
      <c r="D50" s="80">
        <v>0.816237900313027</v>
      </c>
      <c r="E50" s="80">
        <v>0.289742740187816</v>
      </c>
      <c r="F50" s="81">
        <v>0.304014447387431</v>
      </c>
      <c r="G50" s="81">
        <v>0.382663135083072</v>
      </c>
    </row>
    <row r="51" spans="1:7">
      <c r="A51" s="78" t="s">
        <v>217</v>
      </c>
      <c r="B51" s="296">
        <v>251.97</v>
      </c>
      <c r="C51" s="79">
        <f t="shared" si="0"/>
        <v>207.65</v>
      </c>
      <c r="D51" s="80">
        <v>0.848560542921776</v>
      </c>
      <c r="E51" s="80">
        <v>0.309136325753066</v>
      </c>
      <c r="F51" s="81">
        <v>0.320897725919752</v>
      </c>
      <c r="G51" s="81">
        <v>0.385712584831528</v>
      </c>
    </row>
    <row r="52" spans="1:7">
      <c r="A52" s="78" t="s">
        <v>218</v>
      </c>
      <c r="B52" s="296">
        <v>314.93</v>
      </c>
      <c r="C52" s="79">
        <f t="shared" si="0"/>
        <v>251.97</v>
      </c>
      <c r="D52" s="80">
        <v>0.878835931794367</v>
      </c>
      <c r="E52" s="80">
        <v>0.32730155907662</v>
      </c>
      <c r="F52" s="81">
        <v>0.336711650207983</v>
      </c>
      <c r="G52" s="81">
        <v>0.38856888832439</v>
      </c>
    </row>
    <row r="53" spans="1:7">
      <c r="A53" s="78" t="s">
        <v>219</v>
      </c>
      <c r="B53" s="296">
        <v>413.09</v>
      </c>
      <c r="C53" s="79">
        <f t="shared" si="0"/>
        <v>314.93</v>
      </c>
      <c r="D53" s="80">
        <v>0.9076273935462</v>
      </c>
      <c r="E53" s="80">
        <v>0.34457643612772</v>
      </c>
      <c r="F53" s="81">
        <v>0.351750466000145</v>
      </c>
      <c r="G53" s="81">
        <v>0.391285192088891</v>
      </c>
    </row>
    <row r="54" spans="1:7">
      <c r="A54" s="78" t="s">
        <v>220</v>
      </c>
      <c r="B54" s="296">
        <v>723.84</v>
      </c>
      <c r="C54" s="79">
        <f t="shared" si="0"/>
        <v>413.09</v>
      </c>
      <c r="D54" s="80">
        <v>0.947283653846154</v>
      </c>
      <c r="E54" s="80">
        <v>0.368370192307692</v>
      </c>
      <c r="F54" s="81">
        <v>0.372464356763926</v>
      </c>
      <c r="G54" s="81">
        <v>0.395026525198939</v>
      </c>
    </row>
    <row r="55" spans="1:7">
      <c r="A55" s="78" t="s">
        <v>221</v>
      </c>
      <c r="B55" s="297">
        <v>1391.35</v>
      </c>
      <c r="C55" s="79">
        <f t="shared" si="0"/>
        <v>723.84</v>
      </c>
      <c r="D55" s="80">
        <v>0.972574693642865</v>
      </c>
      <c r="E55" s="80">
        <v>0.383544816185719</v>
      </c>
      <c r="F55" s="81">
        <v>0.385674776296403</v>
      </c>
      <c r="G55" s="81">
        <v>0.397412584899558</v>
      </c>
    </row>
    <row r="56" spans="1:7">
      <c r="A56" s="78" t="s">
        <v>221</v>
      </c>
      <c r="B56" s="88" t="s">
        <v>374</v>
      </c>
      <c r="C56" s="79">
        <f t="shared" si="0"/>
        <v>1391.35</v>
      </c>
      <c r="D56" s="83"/>
      <c r="E56" s="83"/>
      <c r="F56" s="84"/>
      <c r="G56" s="84"/>
    </row>
    <row r="57" spans="1:7">
      <c r="A57" s="78"/>
      <c r="B57" s="298">
        <v>83</v>
      </c>
      <c r="C57" s="82"/>
      <c r="D57" s="83"/>
      <c r="E57" s="83">
        <v>63.597</v>
      </c>
      <c r="F57" s="84">
        <v>55.365</v>
      </c>
      <c r="G57" s="84">
        <v>10</v>
      </c>
    </row>
    <row r="58" spans="1:7">
      <c r="A58" s="78"/>
      <c r="B58" s="298">
        <v>49.8</v>
      </c>
      <c r="C58" s="82"/>
      <c r="D58" s="83"/>
      <c r="E58" s="83">
        <v>38.1582</v>
      </c>
      <c r="F58" s="84">
        <v>33.219</v>
      </c>
      <c r="G58" s="84">
        <v>6</v>
      </c>
    </row>
    <row r="59" ht="48" spans="1:10">
      <c r="A59" s="87" t="s">
        <v>224</v>
      </c>
      <c r="B59" s="289">
        <v>83</v>
      </c>
      <c r="C59" s="82"/>
      <c r="D59" s="83"/>
      <c r="E59" s="255">
        <f>B63</f>
        <v>63.597</v>
      </c>
      <c r="F59" s="128">
        <f>B64</f>
        <v>55.365</v>
      </c>
      <c r="G59" s="129"/>
      <c r="I59" s="82"/>
      <c r="J59" s="82"/>
    </row>
    <row r="60" ht="84" spans="1:9">
      <c r="A60" s="106" t="s">
        <v>225</v>
      </c>
      <c r="B60" s="78">
        <f>B59*0.6</f>
        <v>49.8</v>
      </c>
      <c r="C60" s="78"/>
      <c r="D60" s="83"/>
      <c r="E60" s="255">
        <f>0.6*E59</f>
        <v>38.1582</v>
      </c>
      <c r="F60" s="84">
        <f>0.6*F59</f>
        <v>33.219</v>
      </c>
      <c r="G60" s="84"/>
      <c r="I60" s="78"/>
    </row>
    <row r="61" spans="1:9">
      <c r="A61" s="290"/>
      <c r="B61" s="293"/>
      <c r="D61" s="107"/>
      <c r="E61" s="291"/>
      <c r="F61" s="292"/>
      <c r="G61" s="292"/>
      <c r="I61" s="293"/>
    </row>
    <row r="62" ht="48.75" spans="1:2">
      <c r="A62" s="256" t="s">
        <v>224</v>
      </c>
      <c r="B62">
        <f>J59</f>
        <v>0</v>
      </c>
    </row>
    <row r="63" spans="1:3">
      <c r="A63" s="531" t="s">
        <v>226</v>
      </c>
      <c r="B63" s="95">
        <f>AVERAGE(B11:B50)</f>
        <v>63.597</v>
      </c>
      <c r="C63" s="95"/>
    </row>
    <row r="64" spans="1:3">
      <c r="A64" s="531" t="s">
        <v>227</v>
      </c>
      <c r="B64" s="96">
        <f>AVERAGE(B16:B45)</f>
        <v>55.365</v>
      </c>
      <c r="C64" s="96"/>
    </row>
    <row r="65" spans="1:3">
      <c r="A65" s="531" t="s">
        <v>228</v>
      </c>
      <c r="B65" s="96">
        <f>AVERAGE(B22:B40)</f>
        <v>52.9205263157895</v>
      </c>
      <c r="C65" s="96"/>
    </row>
    <row r="69" customHeight="1" spans="1:7">
      <c r="A69" s="83" t="s">
        <v>165</v>
      </c>
      <c r="B69" s="83" t="s">
        <v>229</v>
      </c>
      <c r="C69" s="83"/>
      <c r="D69" s="83"/>
      <c r="E69" s="98">
        <f>(1-E124)^(1/3)-1</f>
        <v>-0.0270428428317318</v>
      </c>
      <c r="F69" s="98">
        <f>(1-F124)^(1/3)-1</f>
        <v>-0.0292729492980359</v>
      </c>
      <c r="G69" s="98"/>
    </row>
    <row r="70" ht="72" spans="1:7">
      <c r="A70" s="83"/>
      <c r="B70" s="83" t="s">
        <v>167</v>
      </c>
      <c r="C70" s="83"/>
      <c r="D70" s="83" t="s">
        <v>168</v>
      </c>
      <c r="E70" s="83" t="s">
        <v>169</v>
      </c>
      <c r="F70" s="84" t="s">
        <v>169</v>
      </c>
      <c r="G70" s="84"/>
    </row>
    <row r="71" ht="24" spans="1:7">
      <c r="A71" s="83"/>
      <c r="B71" s="83" t="s">
        <v>230</v>
      </c>
      <c r="C71" s="83"/>
      <c r="D71" s="83" t="s">
        <v>171</v>
      </c>
      <c r="E71" s="83" t="s">
        <v>171</v>
      </c>
      <c r="F71" s="84" t="s">
        <v>171</v>
      </c>
      <c r="G71" s="84"/>
    </row>
    <row r="72" spans="1:7">
      <c r="A72" s="75">
        <v>1</v>
      </c>
      <c r="B72" s="76">
        <v>2</v>
      </c>
      <c r="C72" s="76"/>
      <c r="D72" s="76">
        <v>3</v>
      </c>
      <c r="E72" s="76">
        <v>4</v>
      </c>
      <c r="F72" s="77">
        <v>5</v>
      </c>
      <c r="G72" s="77"/>
    </row>
    <row r="73" spans="1:7">
      <c r="A73" s="530" t="s">
        <v>172</v>
      </c>
      <c r="B73" s="299">
        <v>18.98</v>
      </c>
      <c r="C73" s="102">
        <v>0</v>
      </c>
      <c r="D73" s="80">
        <v>0</v>
      </c>
      <c r="E73" s="80">
        <v>0</v>
      </c>
      <c r="F73" s="81">
        <v>0</v>
      </c>
      <c r="G73" s="81">
        <v>0</v>
      </c>
    </row>
    <row r="74" spans="1:7">
      <c r="A74" s="530" t="s">
        <v>173</v>
      </c>
      <c r="B74" s="299">
        <v>21.46</v>
      </c>
      <c r="C74" s="79">
        <f>B73</f>
        <v>18.98</v>
      </c>
      <c r="D74" s="80">
        <v>0</v>
      </c>
      <c r="E74" s="80">
        <v>0</v>
      </c>
      <c r="F74" s="81">
        <v>0</v>
      </c>
      <c r="G74" s="81">
        <v>0.0054986020503262</v>
      </c>
    </row>
    <row r="75" spans="1:7">
      <c r="A75" s="530" t="s">
        <v>174</v>
      </c>
      <c r="B75" s="299">
        <v>23.28</v>
      </c>
      <c r="C75" s="79">
        <f t="shared" ref="C75:C123" si="1">B74</f>
        <v>21.46</v>
      </c>
      <c r="D75" s="80">
        <v>0</v>
      </c>
      <c r="E75" s="80">
        <v>0</v>
      </c>
      <c r="F75" s="81">
        <v>0</v>
      </c>
      <c r="G75" s="81">
        <v>0.0128865979381443</v>
      </c>
    </row>
    <row r="76" spans="1:7">
      <c r="A76" s="530" t="s">
        <v>175</v>
      </c>
      <c r="B76" s="299">
        <v>24.96</v>
      </c>
      <c r="C76" s="79">
        <f t="shared" si="1"/>
        <v>23.28</v>
      </c>
      <c r="D76" s="80">
        <v>0</v>
      </c>
      <c r="E76" s="80">
        <v>0</v>
      </c>
      <c r="F76" s="81">
        <v>0</v>
      </c>
      <c r="G76" s="81">
        <v>0.01875</v>
      </c>
    </row>
    <row r="77" spans="1:7">
      <c r="A77" s="530" t="s">
        <v>176</v>
      </c>
      <c r="B77" s="299">
        <v>26.47</v>
      </c>
      <c r="C77" s="79">
        <f t="shared" si="1"/>
        <v>24.96</v>
      </c>
      <c r="D77" s="80">
        <v>0</v>
      </c>
      <c r="E77" s="80">
        <v>0</v>
      </c>
      <c r="F77" s="81">
        <v>0</v>
      </c>
      <c r="G77" s="81">
        <v>0.0233849641103136</v>
      </c>
    </row>
    <row r="78" spans="1:7">
      <c r="A78" s="530" t="s">
        <v>177</v>
      </c>
      <c r="B78" s="299">
        <v>27.83</v>
      </c>
      <c r="C78" s="79">
        <f t="shared" si="1"/>
        <v>26.47</v>
      </c>
      <c r="D78" s="80">
        <v>0</v>
      </c>
      <c r="E78" s="80">
        <v>0</v>
      </c>
      <c r="F78" s="81">
        <v>0</v>
      </c>
      <c r="G78" s="81">
        <v>0.0271289974847287</v>
      </c>
    </row>
    <row r="79" spans="1:7">
      <c r="A79" s="530" t="s">
        <v>178</v>
      </c>
      <c r="B79" s="299">
        <v>29.31</v>
      </c>
      <c r="C79" s="79">
        <f t="shared" si="1"/>
        <v>27.83</v>
      </c>
      <c r="D79" s="80">
        <v>0</v>
      </c>
      <c r="E79" s="80">
        <v>0</v>
      </c>
      <c r="F79" s="81">
        <v>0</v>
      </c>
      <c r="G79" s="81">
        <v>0.0308085977482088</v>
      </c>
    </row>
    <row r="80" spans="1:7">
      <c r="A80" s="78" t="s">
        <v>179</v>
      </c>
      <c r="B80" s="299">
        <v>30.63</v>
      </c>
      <c r="C80" s="79">
        <f t="shared" si="1"/>
        <v>29.31</v>
      </c>
      <c r="D80" s="80">
        <v>0</v>
      </c>
      <c r="E80" s="80">
        <v>0</v>
      </c>
      <c r="F80" s="81">
        <v>0.00203721841332027</v>
      </c>
      <c r="G80" s="81">
        <v>0.0337904015670911</v>
      </c>
    </row>
    <row r="81" spans="1:7">
      <c r="A81" s="78" t="s">
        <v>180</v>
      </c>
      <c r="B81" s="299">
        <v>31.86</v>
      </c>
      <c r="C81" s="79">
        <f t="shared" si="1"/>
        <v>30.63</v>
      </c>
      <c r="D81" s="80">
        <v>0.013837099811676</v>
      </c>
      <c r="E81" s="80"/>
      <c r="F81" s="81"/>
      <c r="G81" s="81"/>
    </row>
    <row r="82" spans="1:7">
      <c r="A82" s="78" t="s">
        <v>181</v>
      </c>
      <c r="B82" s="299">
        <v>33.11</v>
      </c>
      <c r="C82" s="79">
        <f t="shared" si="1"/>
        <v>31.86</v>
      </c>
      <c r="D82" s="80">
        <v>0.0510676532769555</v>
      </c>
      <c r="E82" s="80"/>
      <c r="F82" s="81"/>
      <c r="G82" s="81"/>
    </row>
    <row r="83" spans="1:7">
      <c r="A83" s="78" t="s">
        <v>182</v>
      </c>
      <c r="B83" s="299">
        <v>34.1</v>
      </c>
      <c r="C83" s="79">
        <f t="shared" si="1"/>
        <v>33.11</v>
      </c>
      <c r="D83" s="80">
        <v>0.0786173020527859</v>
      </c>
      <c r="E83" s="80"/>
      <c r="F83" s="81"/>
      <c r="G83" s="81"/>
    </row>
    <row r="84" spans="1:7">
      <c r="A84" s="78" t="s">
        <v>183</v>
      </c>
      <c r="B84" s="299">
        <v>35.12</v>
      </c>
      <c r="C84" s="79">
        <f t="shared" si="1"/>
        <v>34.1</v>
      </c>
      <c r="D84" s="80">
        <v>0.105377277904328</v>
      </c>
      <c r="E84" s="80">
        <v>0.0105377277904328</v>
      </c>
      <c r="F84" s="81">
        <v>0.0145615034168565</v>
      </c>
      <c r="G84" s="81">
        <v>0.0535307517084283</v>
      </c>
    </row>
    <row r="85" spans="1:7">
      <c r="A85" s="78" t="s">
        <v>184</v>
      </c>
      <c r="B85" s="299">
        <v>36.02</v>
      </c>
      <c r="C85" s="79">
        <f t="shared" si="1"/>
        <v>35.12</v>
      </c>
      <c r="D85" s="80">
        <v>0.127730427540255</v>
      </c>
      <c r="E85" s="80">
        <v>0.0127730427540255</v>
      </c>
      <c r="F85" s="81">
        <v>0.0166962798445308</v>
      </c>
      <c r="G85" s="81">
        <v>0.0621876735147141</v>
      </c>
    </row>
    <row r="86" spans="1:7">
      <c r="A86" s="78" t="s">
        <v>185</v>
      </c>
      <c r="B86" s="299">
        <v>37.03</v>
      </c>
      <c r="C86" s="79">
        <f t="shared" si="1"/>
        <v>36.02</v>
      </c>
      <c r="D86" s="80">
        <v>0.151521739130435</v>
      </c>
      <c r="E86" s="80">
        <v>0.0151521739130435</v>
      </c>
      <c r="F86" s="81">
        <v>0.0189684039967594</v>
      </c>
      <c r="G86" s="81">
        <v>0.0714015662975966</v>
      </c>
    </row>
    <row r="87" spans="1:7">
      <c r="A87" s="78" t="s">
        <v>186</v>
      </c>
      <c r="B87" s="299">
        <v>37.9</v>
      </c>
      <c r="C87" s="79">
        <f t="shared" si="1"/>
        <v>37.03</v>
      </c>
      <c r="D87" s="80">
        <v>0.170998680738786</v>
      </c>
      <c r="E87" s="80">
        <v>0.0170998680738786</v>
      </c>
      <c r="F87" s="81">
        <v>0.0208284960422164</v>
      </c>
      <c r="G87" s="81">
        <v>0.0789445910290238</v>
      </c>
    </row>
    <row r="88" spans="1:7">
      <c r="A88" s="78" t="s">
        <v>187</v>
      </c>
      <c r="B88" s="299">
        <v>38.73</v>
      </c>
      <c r="C88" s="79">
        <f t="shared" si="1"/>
        <v>37.9</v>
      </c>
      <c r="D88" s="80">
        <v>0.188764523625097</v>
      </c>
      <c r="E88" s="80">
        <v>0.0188764523625097</v>
      </c>
      <c r="F88" s="81">
        <v>0.0225251742835012</v>
      </c>
      <c r="G88" s="81">
        <v>0.0858249419054996</v>
      </c>
    </row>
    <row r="89" spans="1:7">
      <c r="A89" s="78" t="s">
        <v>188</v>
      </c>
      <c r="B89" s="299">
        <v>39.74</v>
      </c>
      <c r="C89" s="79">
        <f t="shared" si="1"/>
        <v>38.73</v>
      </c>
      <c r="D89" s="80">
        <v>0.209382234524409</v>
      </c>
      <c r="E89" s="80">
        <v>0.0209382234524409</v>
      </c>
      <c r="F89" s="81">
        <v>0.0244942123804731</v>
      </c>
      <c r="G89" s="81">
        <v>0.0938097634625063</v>
      </c>
    </row>
    <row r="90" spans="1:7">
      <c r="A90" s="78" t="s">
        <v>189</v>
      </c>
      <c r="B90" s="299">
        <v>40.56</v>
      </c>
      <c r="C90" s="79">
        <f t="shared" si="1"/>
        <v>39.74</v>
      </c>
      <c r="D90" s="80">
        <v>0.225366124260355</v>
      </c>
      <c r="E90" s="80">
        <v>0.0225366124260355</v>
      </c>
      <c r="F90" s="81">
        <v>0.0260207100591716</v>
      </c>
      <c r="G90" s="81">
        <v>0.1</v>
      </c>
    </row>
    <row r="91" spans="1:7">
      <c r="A91" s="78" t="s">
        <v>190</v>
      </c>
      <c r="B91" s="299">
        <v>41.58</v>
      </c>
      <c r="C91" s="79">
        <f t="shared" si="1"/>
        <v>40.56</v>
      </c>
      <c r="D91" s="80">
        <v>0.244368686868687</v>
      </c>
      <c r="E91" s="80">
        <v>0.0244368686868687</v>
      </c>
      <c r="F91" s="81">
        <v>0.0278354978354978</v>
      </c>
      <c r="G91" s="81">
        <v>0.107359307359307</v>
      </c>
    </row>
    <row r="92" spans="1:7">
      <c r="A92" s="78" t="s">
        <v>191</v>
      </c>
      <c r="B92" s="299">
        <v>42.6</v>
      </c>
      <c r="C92" s="79">
        <f t="shared" si="1"/>
        <v>41.58</v>
      </c>
      <c r="D92" s="80">
        <v>0.262461267605634</v>
      </c>
      <c r="E92" s="80">
        <v>0.0262461267605634</v>
      </c>
      <c r="F92" s="81">
        <v>0.0295633802816901</v>
      </c>
      <c r="G92" s="81">
        <v>0.114366197183099</v>
      </c>
    </row>
    <row r="93" spans="1:7">
      <c r="A93" s="78" t="s">
        <v>192</v>
      </c>
      <c r="B93" s="299">
        <v>43.53</v>
      </c>
      <c r="C93" s="79">
        <f t="shared" si="1"/>
        <v>42.6</v>
      </c>
      <c r="D93" s="80">
        <v>0.278218470020675</v>
      </c>
      <c r="E93" s="80">
        <v>0.0278218470020675</v>
      </c>
      <c r="F93" s="81">
        <v>0.0310682288077188</v>
      </c>
      <c r="G93" s="81">
        <v>0.120468642315644</v>
      </c>
    </row>
    <row r="94" spans="1:7">
      <c r="A94" s="78" t="s">
        <v>193</v>
      </c>
      <c r="B94" s="299">
        <v>44.46</v>
      </c>
      <c r="C94" s="79">
        <f t="shared" si="1"/>
        <v>43.53</v>
      </c>
      <c r="D94" s="80">
        <v>0.293316464237517</v>
      </c>
      <c r="E94" s="80">
        <v>0.0293316464237517</v>
      </c>
      <c r="F94" s="81">
        <v>0.0325101214574899</v>
      </c>
      <c r="G94" s="81">
        <v>0.126315789473684</v>
      </c>
    </row>
    <row r="95" spans="1:7">
      <c r="A95" s="78" t="s">
        <v>194</v>
      </c>
      <c r="B95" s="299">
        <v>45.43</v>
      </c>
      <c r="C95" s="79">
        <f t="shared" si="1"/>
        <v>44.46</v>
      </c>
      <c r="D95" s="80">
        <v>0.308405238828968</v>
      </c>
      <c r="E95" s="80">
        <v>0.0308405238828968</v>
      </c>
      <c r="F95" s="81">
        <v>0.0339511336121506</v>
      </c>
      <c r="G95" s="81">
        <v>0.132159366057671</v>
      </c>
    </row>
    <row r="96" spans="1:7">
      <c r="A96" s="78" t="s">
        <v>195</v>
      </c>
      <c r="B96" s="299">
        <v>46.36</v>
      </c>
      <c r="C96" s="79">
        <f t="shared" si="1"/>
        <v>45.43</v>
      </c>
      <c r="D96" s="80">
        <v>0.322278904227783</v>
      </c>
      <c r="E96" s="80">
        <v>0.0322278904227783</v>
      </c>
      <c r="F96" s="81">
        <v>0.0352761000862813</v>
      </c>
      <c r="G96" s="81">
        <v>0.137532355478861</v>
      </c>
    </row>
    <row r="97" spans="1:7">
      <c r="A97" s="78" t="s">
        <v>196</v>
      </c>
      <c r="B97" s="299">
        <v>47.47</v>
      </c>
      <c r="C97" s="79">
        <f t="shared" si="1"/>
        <v>46.36</v>
      </c>
      <c r="D97" s="80">
        <v>0.338126184958921</v>
      </c>
      <c r="E97" s="80">
        <v>0.0338126184958921</v>
      </c>
      <c r="F97" s="81">
        <v>0.0367895512955551</v>
      </c>
      <c r="G97" s="81">
        <v>0.143669686117548</v>
      </c>
    </row>
    <row r="98" spans="1:7">
      <c r="A98" s="78" t="s">
        <v>197</v>
      </c>
      <c r="B98" s="299">
        <v>48.66</v>
      </c>
      <c r="C98" s="79">
        <f t="shared" si="1"/>
        <v>47.47</v>
      </c>
      <c r="D98" s="80">
        <v>0.354312577065351</v>
      </c>
      <c r="E98" s="80">
        <v>0.0354312577065351</v>
      </c>
      <c r="F98" s="81">
        <v>0.0383353884093711</v>
      </c>
      <c r="G98" s="81">
        <v>0.149938347718866</v>
      </c>
    </row>
    <row r="99" spans="1:7">
      <c r="A99" s="78" t="s">
        <v>198</v>
      </c>
      <c r="B99" s="299">
        <v>49.75</v>
      </c>
      <c r="C99" s="79">
        <f t="shared" si="1"/>
        <v>48.66</v>
      </c>
      <c r="D99" s="80">
        <v>0.368459296482412</v>
      </c>
      <c r="E99" s="80">
        <v>0.0368459296482412</v>
      </c>
      <c r="F99" s="81">
        <v>0.039686432160804</v>
      </c>
      <c r="G99" s="81">
        <v>0.155417085427136</v>
      </c>
    </row>
    <row r="100" spans="1:7">
      <c r="A100" s="78" t="s">
        <v>199</v>
      </c>
      <c r="B100" s="299">
        <v>50.98</v>
      </c>
      <c r="C100" s="79">
        <f t="shared" si="1"/>
        <v>49.75</v>
      </c>
      <c r="D100" s="80">
        <v>0.383696547665751</v>
      </c>
      <c r="E100" s="80">
        <v>0.0383696547665751</v>
      </c>
      <c r="F100" s="81">
        <v>0.0468497449980384</v>
      </c>
      <c r="G100" s="81">
        <v>0.161318163985877</v>
      </c>
    </row>
    <row r="101" spans="1:7">
      <c r="A101" s="78" t="s">
        <v>200</v>
      </c>
      <c r="B101" s="299">
        <v>52.41</v>
      </c>
      <c r="C101" s="79">
        <f t="shared" si="1"/>
        <v>50.98</v>
      </c>
      <c r="D101" s="80">
        <v>0.400512306811677</v>
      </c>
      <c r="E101" s="80">
        <v>0.0403073840870063</v>
      </c>
      <c r="F101" s="81">
        <v>0.056485403548941</v>
      </c>
      <c r="G101" s="81">
        <v>0.167830566685747</v>
      </c>
    </row>
    <row r="102" spans="1:7">
      <c r="A102" s="78" t="s">
        <v>201</v>
      </c>
      <c r="B102" s="299">
        <v>53.9</v>
      </c>
      <c r="C102" s="79">
        <f t="shared" si="1"/>
        <v>52.41</v>
      </c>
      <c r="D102" s="80">
        <v>0.417084415584416</v>
      </c>
      <c r="E102" s="80">
        <v>0.0502506493506493</v>
      </c>
      <c r="F102" s="81">
        <v>0.0659814471243042</v>
      </c>
      <c r="G102" s="81">
        <v>0.174248608534323</v>
      </c>
    </row>
    <row r="103" spans="1:7">
      <c r="A103" s="78" t="s">
        <v>202</v>
      </c>
      <c r="B103" s="299">
        <v>55.35</v>
      </c>
      <c r="C103" s="79">
        <f t="shared" si="1"/>
        <v>53.9</v>
      </c>
      <c r="D103" s="80">
        <v>0.432355013550136</v>
      </c>
      <c r="E103" s="80">
        <v>0.0594130081300813</v>
      </c>
      <c r="F103" s="81">
        <v>0.0747317073170732</v>
      </c>
      <c r="G103" s="81">
        <v>0.180162601626016</v>
      </c>
    </row>
    <row r="104" spans="1:7">
      <c r="A104" s="78" t="s">
        <v>203</v>
      </c>
      <c r="B104" s="299">
        <v>56.92</v>
      </c>
      <c r="C104" s="79">
        <f t="shared" si="1"/>
        <v>55.35</v>
      </c>
      <c r="D104" s="80">
        <v>0.44801212227688</v>
      </c>
      <c r="E104" s="80">
        <v>0.0688072733661279</v>
      </c>
      <c r="F104" s="81">
        <v>0.0837034434293746</v>
      </c>
      <c r="G104" s="81">
        <v>0.186226282501757</v>
      </c>
    </row>
    <row r="105" spans="1:7">
      <c r="A105" s="78" t="s">
        <v>204</v>
      </c>
      <c r="B105" s="299">
        <v>58.7</v>
      </c>
      <c r="C105" s="79">
        <f t="shared" si="1"/>
        <v>56.92</v>
      </c>
      <c r="D105" s="80">
        <v>0.464750425894378</v>
      </c>
      <c r="E105" s="80">
        <v>0.0788502555366269</v>
      </c>
      <c r="F105" s="81">
        <v>0.0932947189097104</v>
      </c>
      <c r="G105" s="81">
        <v>0.192708688245315</v>
      </c>
    </row>
    <row r="106" spans="1:7">
      <c r="A106" s="78" t="s">
        <v>205</v>
      </c>
      <c r="B106" s="299">
        <v>60.2</v>
      </c>
      <c r="C106" s="79">
        <f t="shared" si="1"/>
        <v>58.7</v>
      </c>
      <c r="D106" s="80">
        <v>0.478087209302326</v>
      </c>
      <c r="E106" s="80">
        <v>0.0868523255813953</v>
      </c>
      <c r="F106" s="81">
        <v>0.100936877076412</v>
      </c>
      <c r="G106" s="81">
        <v>0.197873754152824</v>
      </c>
    </row>
    <row r="107" spans="1:7">
      <c r="A107" s="78" t="s">
        <v>206</v>
      </c>
      <c r="B107" s="299">
        <v>61.71</v>
      </c>
      <c r="C107" s="79">
        <f t="shared" si="1"/>
        <v>60.2</v>
      </c>
      <c r="D107" s="80">
        <v>0.490858045697618</v>
      </c>
      <c r="E107" s="80">
        <v>0.0945148274185707</v>
      </c>
      <c r="F107" s="81">
        <v>0.108254739912494</v>
      </c>
      <c r="G107" s="81">
        <v>0.202819640252795</v>
      </c>
    </row>
    <row r="108" spans="1:7">
      <c r="A108" s="78" t="s">
        <v>207</v>
      </c>
      <c r="B108" s="299">
        <v>63.4</v>
      </c>
      <c r="C108" s="79">
        <f t="shared" si="1"/>
        <v>61.71</v>
      </c>
      <c r="D108" s="80">
        <v>0.504429810725552</v>
      </c>
      <c r="E108" s="80">
        <v>0.102657886435331</v>
      </c>
      <c r="F108" s="81">
        <v>0.116031545741325</v>
      </c>
      <c r="G108" s="81">
        <v>0.20807570977918</v>
      </c>
    </row>
    <row r="109" spans="1:7">
      <c r="A109" s="78" t="s">
        <v>208</v>
      </c>
      <c r="B109" s="299">
        <v>65.29</v>
      </c>
      <c r="C109" s="79">
        <f t="shared" si="1"/>
        <v>63.4</v>
      </c>
      <c r="D109" s="80">
        <v>0.518775463317507</v>
      </c>
      <c r="E109" s="80">
        <v>0.111265277990504</v>
      </c>
      <c r="F109" s="81">
        <v>0.124251799663042</v>
      </c>
      <c r="G109" s="81">
        <v>0.213631490274161</v>
      </c>
    </row>
    <row r="110" spans="1:7">
      <c r="A110" s="78" t="s">
        <v>209</v>
      </c>
      <c r="B110" s="299">
        <v>67.69</v>
      </c>
      <c r="C110" s="79">
        <f t="shared" si="1"/>
        <v>65.29</v>
      </c>
      <c r="D110" s="80">
        <v>0.535837642192347</v>
      </c>
      <c r="E110" s="80">
        <v>0.121502585315408</v>
      </c>
      <c r="F110" s="81">
        <v>0.134028660067957</v>
      </c>
      <c r="G110" s="81">
        <v>0.220239326340671</v>
      </c>
    </row>
    <row r="111" spans="1:7">
      <c r="A111" s="78" t="s">
        <v>210</v>
      </c>
      <c r="B111" s="299">
        <v>70.8</v>
      </c>
      <c r="C111" s="79">
        <f t="shared" si="1"/>
        <v>67.69</v>
      </c>
      <c r="D111" s="80">
        <v>0.556226694915254</v>
      </c>
      <c r="E111" s="80">
        <v>0.133736016949153</v>
      </c>
      <c r="F111" s="81">
        <v>0.14571186440678</v>
      </c>
      <c r="G111" s="81">
        <v>0.228135593220339</v>
      </c>
    </row>
    <row r="112" spans="1:7">
      <c r="A112" s="78" t="s">
        <v>211</v>
      </c>
      <c r="B112" s="299">
        <v>73.91</v>
      </c>
      <c r="C112" s="79">
        <f t="shared" si="1"/>
        <v>70.8</v>
      </c>
      <c r="D112" s="80">
        <v>0.57489987823028</v>
      </c>
      <c r="E112" s="80">
        <v>0.144939926938168</v>
      </c>
      <c r="F112" s="81">
        <v>0.15641185225274</v>
      </c>
      <c r="G112" s="81">
        <v>0.235367338655121</v>
      </c>
    </row>
    <row r="113" spans="1:7">
      <c r="A113" s="78" t="s">
        <v>212</v>
      </c>
      <c r="B113" s="299">
        <v>77.53</v>
      </c>
      <c r="C113" s="79">
        <f t="shared" si="1"/>
        <v>73.91</v>
      </c>
      <c r="D113" s="80">
        <v>0.594748484457629</v>
      </c>
      <c r="E113" s="80">
        <v>0.156849090674578</v>
      </c>
      <c r="F113" s="81">
        <v>0.167785373403844</v>
      </c>
      <c r="G113" s="81">
        <v>0.243054301560686</v>
      </c>
    </row>
    <row r="114" spans="1:7">
      <c r="A114" s="78" t="s">
        <v>213</v>
      </c>
      <c r="B114" s="299">
        <v>82.02</v>
      </c>
      <c r="C114" s="79">
        <f t="shared" si="1"/>
        <v>77.53</v>
      </c>
      <c r="D114" s="80">
        <v>0.616933065106072</v>
      </c>
      <c r="E114" s="80">
        <v>0.170159839063643</v>
      </c>
      <c r="F114" s="81">
        <v>0.180497439648866</v>
      </c>
      <c r="G114" s="81">
        <v>0.251645940014631</v>
      </c>
    </row>
    <row r="115" spans="1:7">
      <c r="A115" s="78" t="s">
        <v>214</v>
      </c>
      <c r="B115" s="299">
        <v>87.29</v>
      </c>
      <c r="C115" s="79">
        <f t="shared" si="1"/>
        <v>82.02</v>
      </c>
      <c r="D115" s="80">
        <v>0.640060144346431</v>
      </c>
      <c r="E115" s="80">
        <v>0.184036086607859</v>
      </c>
      <c r="F115" s="81">
        <v>0.193749570397525</v>
      </c>
      <c r="G115" s="81">
        <v>0.260602589070913</v>
      </c>
    </row>
    <row r="116" spans="1:7">
      <c r="A116" s="78" t="s">
        <v>215</v>
      </c>
      <c r="B116" s="299">
        <v>92.91</v>
      </c>
      <c r="C116" s="79">
        <f t="shared" si="1"/>
        <v>87.29</v>
      </c>
      <c r="D116" s="80">
        <v>0.661832418469487</v>
      </c>
      <c r="E116" s="80">
        <v>0.197099451081692</v>
      </c>
      <c r="F116" s="81">
        <v>0.206225379399419</v>
      </c>
      <c r="G116" s="81">
        <v>0.269034549564094</v>
      </c>
    </row>
    <row r="117" spans="1:7">
      <c r="A117" s="78" t="s">
        <v>216</v>
      </c>
      <c r="B117" s="299">
        <v>101.82</v>
      </c>
      <c r="C117" s="79">
        <f t="shared" si="1"/>
        <v>92.91</v>
      </c>
      <c r="D117" s="80">
        <v>0.691424572775486</v>
      </c>
      <c r="E117" s="80">
        <v>0.214854743665292</v>
      </c>
      <c r="F117" s="81">
        <v>0.223182086034178</v>
      </c>
      <c r="G117" s="81">
        <v>0.280494991160872</v>
      </c>
    </row>
    <row r="118" spans="1:7">
      <c r="A118" s="78" t="s">
        <v>217</v>
      </c>
      <c r="B118" s="299">
        <v>113.85</v>
      </c>
      <c r="C118" s="79">
        <f t="shared" si="1"/>
        <v>101.82</v>
      </c>
      <c r="D118" s="80">
        <v>0.724030303030303</v>
      </c>
      <c r="E118" s="80">
        <v>0.234418181818182</v>
      </c>
      <c r="F118" s="81">
        <v>0.241865612648221</v>
      </c>
      <c r="G118" s="81">
        <v>0.293122529644269</v>
      </c>
    </row>
    <row r="119" spans="1:7">
      <c r="A119" s="78" t="s">
        <v>218</v>
      </c>
      <c r="B119" s="299">
        <v>132.97</v>
      </c>
      <c r="C119" s="79">
        <f t="shared" si="1"/>
        <v>113.85</v>
      </c>
      <c r="D119" s="80">
        <v>0.763712491539445</v>
      </c>
      <c r="E119" s="80">
        <v>0.258227494923667</v>
      </c>
      <c r="F119" s="81">
        <v>0.264604046025419</v>
      </c>
      <c r="G119" s="81">
        <v>0.308490636985786</v>
      </c>
    </row>
    <row r="120" spans="1:7">
      <c r="A120" s="78" t="s">
        <v>219</v>
      </c>
      <c r="B120" s="299">
        <v>172.75</v>
      </c>
      <c r="C120" s="79">
        <f t="shared" si="1"/>
        <v>132.97</v>
      </c>
      <c r="D120" s="80">
        <v>0.818123589001447</v>
      </c>
      <c r="E120" s="80">
        <v>0.290874153400868</v>
      </c>
      <c r="F120" s="81">
        <v>0.295782344428365</v>
      </c>
      <c r="G120" s="81">
        <v>0.329562952243126</v>
      </c>
    </row>
    <row r="121" spans="1:7">
      <c r="A121" s="78" t="s">
        <v>220</v>
      </c>
      <c r="B121" s="300">
        <v>321.4</v>
      </c>
      <c r="C121" s="79">
        <f t="shared" si="1"/>
        <v>172.75</v>
      </c>
      <c r="D121" s="80">
        <v>0.902242843808339</v>
      </c>
      <c r="E121" s="80">
        <v>0.341345706285003</v>
      </c>
      <c r="F121" s="81">
        <v>0.34398382078407</v>
      </c>
      <c r="G121" s="81">
        <v>0.362140634723086</v>
      </c>
    </row>
    <row r="122" spans="1:7">
      <c r="A122" s="78" t="s">
        <v>221</v>
      </c>
      <c r="B122" s="300">
        <v>461.2</v>
      </c>
      <c r="C122" s="79">
        <f t="shared" si="1"/>
        <v>321.4</v>
      </c>
      <c r="D122" s="80">
        <v>0.931875216825672</v>
      </c>
      <c r="E122" s="80">
        <v>0.359125130095403</v>
      </c>
      <c r="F122" s="81">
        <v>0.360963573287077</v>
      </c>
      <c r="G122" s="81">
        <v>0.373616652211622</v>
      </c>
    </row>
    <row r="123" spans="1:7">
      <c r="A123" s="78" t="s">
        <v>221</v>
      </c>
      <c r="B123" s="78" t="s">
        <v>375</v>
      </c>
      <c r="C123" s="79">
        <f t="shared" si="1"/>
        <v>461.2</v>
      </c>
      <c r="D123" s="83" t="s">
        <v>232</v>
      </c>
      <c r="E123" s="83"/>
      <c r="F123" s="84"/>
      <c r="G123" s="84"/>
    </row>
    <row r="124" spans="1:7">
      <c r="A124" s="78"/>
      <c r="B124" s="78"/>
      <c r="C124" s="78"/>
      <c r="D124" s="83"/>
      <c r="E124" s="85">
        <v>0.0789543592959578</v>
      </c>
      <c r="F124" s="86">
        <v>0.0852732153653206</v>
      </c>
      <c r="G124" s="86">
        <v>0.150876821225698</v>
      </c>
    </row>
    <row r="125" ht="48" spans="1:7">
      <c r="A125" s="87" t="s">
        <v>233</v>
      </c>
      <c r="B125" s="78">
        <v>33.8</v>
      </c>
      <c r="C125" s="78"/>
      <c r="D125" s="83"/>
      <c r="E125" s="127">
        <v>52.36525</v>
      </c>
      <c r="F125" s="128">
        <v>50.01</v>
      </c>
      <c r="G125" s="129">
        <v>33.8</v>
      </c>
    </row>
    <row r="126" ht="48" spans="1:7">
      <c r="A126" s="87" t="s">
        <v>224</v>
      </c>
      <c r="B126" s="78">
        <v>62.9</v>
      </c>
      <c r="C126" s="78"/>
      <c r="D126" s="83"/>
      <c r="E126" s="83"/>
      <c r="F126" s="84"/>
      <c r="G126" s="84"/>
    </row>
    <row r="127" ht="84" spans="1:7">
      <c r="A127" s="106" t="s">
        <v>225</v>
      </c>
      <c r="B127" s="78">
        <v>37.74</v>
      </c>
      <c r="C127" s="78"/>
      <c r="D127" s="83"/>
      <c r="E127" s="83">
        <v>31.41915</v>
      </c>
      <c r="F127" s="84">
        <v>30.006</v>
      </c>
      <c r="G127" s="84">
        <v>20.28</v>
      </c>
    </row>
    <row r="129" ht="48.75" spans="1:2">
      <c r="A129" s="256" t="s">
        <v>224</v>
      </c>
      <c r="B129">
        <f>B126</f>
        <v>62.9</v>
      </c>
    </row>
    <row r="130" spans="1:3">
      <c r="A130" s="531" t="s">
        <v>226</v>
      </c>
      <c r="B130" s="95">
        <f>AVERAGE(B78:B117)</f>
        <v>52.36525</v>
      </c>
      <c r="C130" s="95"/>
    </row>
    <row r="131" spans="1:3">
      <c r="A131" s="531" t="s">
        <v>227</v>
      </c>
      <c r="B131" s="96">
        <f>AVERAGE(B83:B112)</f>
        <v>50.01</v>
      </c>
      <c r="C131" s="96"/>
    </row>
    <row r="132" spans="1:3">
      <c r="A132" s="531" t="s">
        <v>228</v>
      </c>
      <c r="B132" s="96">
        <f>AVERAGE(B89:B107)</f>
        <v>49.49</v>
      </c>
      <c r="C132" s="96"/>
    </row>
    <row r="133" ht="15.75"/>
    <row r="134" ht="15.75" spans="1:7">
      <c r="A134" s="252" t="s">
        <v>165</v>
      </c>
      <c r="B134" s="67" t="s">
        <v>347</v>
      </c>
      <c r="C134" s="68"/>
      <c r="D134" s="69"/>
      <c r="E134" s="70">
        <f>(1-E189)^(1/3)-1</f>
        <v>-0.0330280841658703</v>
      </c>
      <c r="F134" s="70">
        <f>(1-F189)^(1/3)-1</f>
        <v>-0.0408974838234565</v>
      </c>
      <c r="G134" s="70"/>
    </row>
    <row r="135" ht="72.75" spans="1:7">
      <c r="A135" s="253"/>
      <c r="B135" s="72" t="s">
        <v>167</v>
      </c>
      <c r="C135" s="107"/>
      <c r="D135" s="83" t="s">
        <v>168</v>
      </c>
      <c r="E135" s="83" t="s">
        <v>169</v>
      </c>
      <c r="F135" s="84" t="s">
        <v>169</v>
      </c>
      <c r="G135" s="84"/>
    </row>
    <row r="136" ht="24.75" spans="1:7">
      <c r="A136" s="254"/>
      <c r="B136" s="72" t="s">
        <v>235</v>
      </c>
      <c r="C136" s="107"/>
      <c r="D136" s="83" t="s">
        <v>171</v>
      </c>
      <c r="E136" s="83" t="s">
        <v>171</v>
      </c>
      <c r="F136" s="84" t="s">
        <v>171</v>
      </c>
      <c r="G136" s="84"/>
    </row>
    <row r="137" spans="1:7">
      <c r="A137" s="75">
        <v>1</v>
      </c>
      <c r="B137" s="76">
        <v>2</v>
      </c>
      <c r="C137" s="76"/>
      <c r="D137" s="76">
        <v>3</v>
      </c>
      <c r="E137" s="76">
        <v>4</v>
      </c>
      <c r="F137" s="77">
        <v>5</v>
      </c>
      <c r="G137" s="77"/>
    </row>
    <row r="138" ht="15.75" spans="1:7">
      <c r="A138" s="537" t="s">
        <v>172</v>
      </c>
      <c r="B138" s="294">
        <v>0.001</v>
      </c>
      <c r="C138" s="112">
        <v>0</v>
      </c>
      <c r="D138" s="113">
        <v>0</v>
      </c>
      <c r="E138" s="80">
        <v>0</v>
      </c>
      <c r="F138" s="81">
        <v>0</v>
      </c>
      <c r="G138" s="81">
        <v>0</v>
      </c>
    </row>
    <row r="139" ht="15.75" spans="1:7">
      <c r="A139" s="537" t="s">
        <v>173</v>
      </c>
      <c r="B139" s="294">
        <v>0.001</v>
      </c>
      <c r="C139" s="79">
        <f>B138</f>
        <v>0.001</v>
      </c>
      <c r="D139" s="113">
        <v>0</v>
      </c>
      <c r="E139" s="80">
        <v>0</v>
      </c>
      <c r="F139" s="81">
        <v>0</v>
      </c>
      <c r="G139" s="81">
        <v>0</v>
      </c>
    </row>
    <row r="140" ht="15.75" spans="1:7">
      <c r="A140" s="537" t="s">
        <v>174</v>
      </c>
      <c r="B140" s="294">
        <v>0.002</v>
      </c>
      <c r="C140" s="79">
        <f t="shared" ref="C140:C188" si="2">B139</f>
        <v>0.001</v>
      </c>
      <c r="D140" s="113">
        <v>0</v>
      </c>
      <c r="E140" s="80">
        <v>0</v>
      </c>
      <c r="F140" s="81">
        <v>0</v>
      </c>
      <c r="G140" s="81">
        <v>0</v>
      </c>
    </row>
    <row r="141" ht="15.75" spans="1:7">
      <c r="A141" s="537" t="s">
        <v>175</v>
      </c>
      <c r="B141" s="294">
        <v>0.003</v>
      </c>
      <c r="C141" s="79">
        <f t="shared" si="2"/>
        <v>0.002</v>
      </c>
      <c r="D141" s="113">
        <v>0</v>
      </c>
      <c r="E141" s="80">
        <v>0</v>
      </c>
      <c r="F141" s="81">
        <v>0</v>
      </c>
      <c r="G141" s="81">
        <v>0</v>
      </c>
    </row>
    <row r="142" ht="15.75" spans="1:7">
      <c r="A142" s="537" t="s">
        <v>176</v>
      </c>
      <c r="B142" s="294">
        <v>0.004</v>
      </c>
      <c r="C142" s="79">
        <f t="shared" si="2"/>
        <v>0.003</v>
      </c>
      <c r="D142" s="113">
        <v>0</v>
      </c>
      <c r="E142" s="80">
        <v>0</v>
      </c>
      <c r="F142" s="81">
        <v>0</v>
      </c>
      <c r="G142" s="81">
        <v>0</v>
      </c>
    </row>
    <row r="143" ht="15.75" spans="1:7">
      <c r="A143" s="537" t="s">
        <v>177</v>
      </c>
      <c r="B143" s="294">
        <v>0.005</v>
      </c>
      <c r="C143" s="79">
        <f t="shared" si="2"/>
        <v>0.004</v>
      </c>
      <c r="D143" s="113">
        <v>0</v>
      </c>
      <c r="E143" s="80">
        <v>0</v>
      </c>
      <c r="F143" s="81">
        <v>0</v>
      </c>
      <c r="G143" s="81">
        <v>0</v>
      </c>
    </row>
    <row r="144" ht="15.75" spans="1:7">
      <c r="A144" s="537" t="s">
        <v>178</v>
      </c>
      <c r="B144" s="294">
        <v>0.007</v>
      </c>
      <c r="C144" s="79">
        <f t="shared" si="2"/>
        <v>0.005</v>
      </c>
      <c r="D144" s="113">
        <v>0</v>
      </c>
      <c r="E144" s="80">
        <v>0</v>
      </c>
      <c r="F144" s="81">
        <v>0</v>
      </c>
      <c r="G144" s="81">
        <v>0</v>
      </c>
    </row>
    <row r="145" ht="15.75" spans="1:7">
      <c r="A145" s="283" t="s">
        <v>179</v>
      </c>
      <c r="B145" s="294">
        <v>0.01</v>
      </c>
      <c r="C145" s="79">
        <f t="shared" si="2"/>
        <v>0.007</v>
      </c>
      <c r="D145" s="113">
        <v>0</v>
      </c>
      <c r="E145" s="80">
        <v>0</v>
      </c>
      <c r="F145" s="81">
        <v>0</v>
      </c>
      <c r="G145" s="81">
        <v>0</v>
      </c>
    </row>
    <row r="146" ht="15.75" spans="1:7">
      <c r="A146" s="283" t="s">
        <v>180</v>
      </c>
      <c r="B146" s="294">
        <v>0.013</v>
      </c>
      <c r="C146" s="79">
        <f t="shared" si="2"/>
        <v>0.01</v>
      </c>
      <c r="D146" s="113">
        <v>0</v>
      </c>
      <c r="E146" s="80">
        <v>0</v>
      </c>
      <c r="F146" s="81">
        <v>0</v>
      </c>
      <c r="G146" s="81">
        <v>0</v>
      </c>
    </row>
    <row r="147" ht="15.75" spans="1:7">
      <c r="A147" s="283" t="s">
        <v>181</v>
      </c>
      <c r="B147" s="294">
        <v>0.018</v>
      </c>
      <c r="C147" s="79">
        <f t="shared" si="2"/>
        <v>0.013</v>
      </c>
      <c r="D147" s="113">
        <v>0</v>
      </c>
      <c r="E147" s="80">
        <v>0</v>
      </c>
      <c r="F147" s="81">
        <v>0</v>
      </c>
      <c r="G147" s="81">
        <v>0</v>
      </c>
    </row>
    <row r="148" ht="15.75" spans="1:7">
      <c r="A148" s="283" t="s">
        <v>182</v>
      </c>
      <c r="B148" s="294">
        <v>0.024</v>
      </c>
      <c r="C148" s="79">
        <f t="shared" si="2"/>
        <v>0.018</v>
      </c>
      <c r="D148" s="113">
        <v>0</v>
      </c>
      <c r="E148" s="80">
        <v>0</v>
      </c>
      <c r="F148" s="81">
        <v>0</v>
      </c>
      <c r="G148" s="81">
        <v>0</v>
      </c>
    </row>
    <row r="149" ht="15.75" spans="1:7">
      <c r="A149" s="283" t="s">
        <v>183</v>
      </c>
      <c r="B149" s="294">
        <v>0.038</v>
      </c>
      <c r="C149" s="79">
        <f t="shared" si="2"/>
        <v>0.024</v>
      </c>
      <c r="D149" s="113">
        <v>0</v>
      </c>
      <c r="E149" s="80">
        <v>0</v>
      </c>
      <c r="F149" s="81">
        <v>0</v>
      </c>
      <c r="G149" s="81">
        <v>0</v>
      </c>
    </row>
    <row r="150" ht="15.75" spans="1:7">
      <c r="A150" s="283" t="s">
        <v>184</v>
      </c>
      <c r="B150" s="294">
        <v>0.053</v>
      </c>
      <c r="C150" s="79">
        <f t="shared" si="2"/>
        <v>0.038</v>
      </c>
      <c r="D150" s="113">
        <v>0</v>
      </c>
      <c r="E150" s="80">
        <v>0</v>
      </c>
      <c r="F150" s="81">
        <v>0</v>
      </c>
      <c r="G150" s="81">
        <v>0</v>
      </c>
    </row>
    <row r="151" ht="15.75" spans="1:7">
      <c r="A151" s="283" t="s">
        <v>185</v>
      </c>
      <c r="B151" s="294">
        <v>0.073</v>
      </c>
      <c r="C151" s="79">
        <f t="shared" si="2"/>
        <v>0.053</v>
      </c>
      <c r="D151" s="113">
        <v>0</v>
      </c>
      <c r="E151" s="80">
        <v>0</v>
      </c>
      <c r="F151" s="81">
        <v>0</v>
      </c>
      <c r="G151" s="81">
        <v>0</v>
      </c>
    </row>
    <row r="152" ht="15.75" spans="1:7">
      <c r="A152" s="283" t="s">
        <v>186</v>
      </c>
      <c r="B152" s="294">
        <v>0.098</v>
      </c>
      <c r="C152" s="79">
        <f t="shared" si="2"/>
        <v>0.073</v>
      </c>
      <c r="D152" s="113">
        <v>0</v>
      </c>
      <c r="E152" s="80">
        <v>0</v>
      </c>
      <c r="F152" s="81">
        <v>0</v>
      </c>
      <c r="G152" s="81">
        <v>0</v>
      </c>
    </row>
    <row r="153" ht="15.75" spans="1:7">
      <c r="A153" s="283" t="s">
        <v>187</v>
      </c>
      <c r="B153" s="294">
        <v>0.14</v>
      </c>
      <c r="C153" s="79">
        <f t="shared" si="2"/>
        <v>0.098</v>
      </c>
      <c r="D153" s="113">
        <v>0</v>
      </c>
      <c r="E153" s="80">
        <v>0</v>
      </c>
      <c r="F153" s="81">
        <v>0</v>
      </c>
      <c r="G153" s="81">
        <v>0</v>
      </c>
    </row>
    <row r="154" ht="15.75" spans="1:7">
      <c r="A154" s="283" t="s">
        <v>188</v>
      </c>
      <c r="B154" s="294">
        <v>0.187</v>
      </c>
      <c r="C154" s="79">
        <f t="shared" si="2"/>
        <v>0.14</v>
      </c>
      <c r="D154" s="113">
        <v>0</v>
      </c>
      <c r="E154" s="80">
        <v>0</v>
      </c>
      <c r="F154" s="81">
        <v>0</v>
      </c>
      <c r="G154" s="81">
        <v>0</v>
      </c>
    </row>
    <row r="155" ht="15.75" spans="1:7">
      <c r="A155" s="283" t="s">
        <v>189</v>
      </c>
      <c r="B155" s="294">
        <v>0.238</v>
      </c>
      <c r="C155" s="79">
        <f t="shared" si="2"/>
        <v>0.187</v>
      </c>
      <c r="D155" s="113">
        <v>0</v>
      </c>
      <c r="E155" s="80">
        <v>0</v>
      </c>
      <c r="F155" s="81">
        <v>0</v>
      </c>
      <c r="G155" s="81">
        <v>0</v>
      </c>
    </row>
    <row r="156" ht="15.75" spans="1:7">
      <c r="A156" s="283" t="s">
        <v>190</v>
      </c>
      <c r="B156" s="294">
        <v>0.306</v>
      </c>
      <c r="C156" s="79">
        <f t="shared" si="2"/>
        <v>0.238</v>
      </c>
      <c r="D156" s="113">
        <v>0</v>
      </c>
      <c r="E156" s="80">
        <v>0</v>
      </c>
      <c r="F156" s="81">
        <v>0</v>
      </c>
      <c r="G156" s="81">
        <v>0</v>
      </c>
    </row>
    <row r="157" ht="15.75" spans="1:7">
      <c r="A157" s="283" t="s">
        <v>191</v>
      </c>
      <c r="B157" s="294">
        <v>0.382</v>
      </c>
      <c r="C157" s="79">
        <f t="shared" si="2"/>
        <v>0.306</v>
      </c>
      <c r="D157" s="113">
        <v>0</v>
      </c>
      <c r="E157" s="80">
        <v>0</v>
      </c>
      <c r="F157" s="81">
        <v>0</v>
      </c>
      <c r="G157" s="81">
        <v>0</v>
      </c>
    </row>
    <row r="158" ht="15.75" spans="1:7">
      <c r="A158" s="283" t="s">
        <v>192</v>
      </c>
      <c r="B158" s="294">
        <v>0.46</v>
      </c>
      <c r="C158" s="79">
        <f t="shared" si="2"/>
        <v>0.382</v>
      </c>
      <c r="D158" s="113">
        <v>0</v>
      </c>
      <c r="E158" s="80">
        <v>0</v>
      </c>
      <c r="F158" s="81">
        <v>0</v>
      </c>
      <c r="G158" s="81">
        <v>0</v>
      </c>
    </row>
    <row r="159" ht="15.75" spans="1:7">
      <c r="A159" s="283" t="s">
        <v>193</v>
      </c>
      <c r="B159" s="294">
        <v>0.56</v>
      </c>
      <c r="C159" s="79">
        <f t="shared" si="2"/>
        <v>0.46</v>
      </c>
      <c r="D159" s="113">
        <v>0</v>
      </c>
      <c r="E159" s="80">
        <v>0</v>
      </c>
      <c r="F159" s="81">
        <v>0</v>
      </c>
      <c r="G159" s="81">
        <v>0</v>
      </c>
    </row>
    <row r="160" ht="15.75" spans="1:7">
      <c r="A160" s="283" t="s">
        <v>194</v>
      </c>
      <c r="B160" s="294">
        <v>0.661</v>
      </c>
      <c r="C160" s="79">
        <f t="shared" si="2"/>
        <v>0.56</v>
      </c>
      <c r="D160" s="113">
        <v>0</v>
      </c>
      <c r="E160" s="80">
        <v>0</v>
      </c>
      <c r="F160" s="81">
        <v>0</v>
      </c>
      <c r="G160" s="81">
        <v>0</v>
      </c>
    </row>
    <row r="161" ht="15.75" spans="1:7">
      <c r="A161" s="283" t="s">
        <v>195</v>
      </c>
      <c r="B161" s="294">
        <v>0.777</v>
      </c>
      <c r="C161" s="79">
        <f t="shared" si="2"/>
        <v>0.661</v>
      </c>
      <c r="D161" s="113">
        <v>0</v>
      </c>
      <c r="E161" s="80">
        <v>0</v>
      </c>
      <c r="F161" s="81">
        <v>0</v>
      </c>
      <c r="G161" s="81">
        <v>0</v>
      </c>
    </row>
    <row r="162" ht="15.75" spans="1:7">
      <c r="A162" s="283" t="s">
        <v>196</v>
      </c>
      <c r="B162" s="294">
        <v>0.914</v>
      </c>
      <c r="C162" s="79">
        <f t="shared" si="2"/>
        <v>0.777</v>
      </c>
      <c r="D162" s="113">
        <v>0</v>
      </c>
      <c r="E162" s="80">
        <v>0</v>
      </c>
      <c r="F162" s="81">
        <v>0</v>
      </c>
      <c r="G162" s="81">
        <v>0</v>
      </c>
    </row>
    <row r="163" ht="15.75" spans="1:7">
      <c r="A163" s="283" t="s">
        <v>197</v>
      </c>
      <c r="B163" s="294">
        <v>1.068</v>
      </c>
      <c r="C163" s="79">
        <f t="shared" si="2"/>
        <v>0.914</v>
      </c>
      <c r="D163" s="113">
        <v>0</v>
      </c>
      <c r="E163" s="80">
        <v>0</v>
      </c>
      <c r="F163" s="81">
        <v>0</v>
      </c>
      <c r="G163" s="81">
        <v>0</v>
      </c>
    </row>
    <row r="164" ht="15.75" spans="1:7">
      <c r="A164" s="283" t="s">
        <v>198</v>
      </c>
      <c r="B164" s="294">
        <v>1.251</v>
      </c>
      <c r="C164" s="79">
        <f t="shared" si="2"/>
        <v>1.068</v>
      </c>
      <c r="D164" s="113">
        <v>0</v>
      </c>
      <c r="E164" s="80">
        <v>0</v>
      </c>
      <c r="F164" s="81">
        <v>0</v>
      </c>
      <c r="G164" s="81">
        <v>0</v>
      </c>
    </row>
    <row r="165" ht="15.75" spans="1:7">
      <c r="A165" s="283" t="s">
        <v>199</v>
      </c>
      <c r="B165" s="294">
        <v>1.466</v>
      </c>
      <c r="C165" s="79">
        <f t="shared" si="2"/>
        <v>1.251</v>
      </c>
      <c r="D165" s="113">
        <v>0</v>
      </c>
      <c r="E165" s="80">
        <v>0</v>
      </c>
      <c r="F165" s="81">
        <v>0.0112210095497954</v>
      </c>
      <c r="G165" s="81">
        <v>0</v>
      </c>
    </row>
    <row r="166" ht="15.75" spans="1:7">
      <c r="A166" s="283" t="s">
        <v>200</v>
      </c>
      <c r="B166" s="294">
        <v>1.719</v>
      </c>
      <c r="C166" s="79">
        <f t="shared" si="2"/>
        <v>1.466</v>
      </c>
      <c r="D166" s="113">
        <v>0</v>
      </c>
      <c r="E166" s="80">
        <v>0</v>
      </c>
      <c r="F166" s="81">
        <v>0.0242873763816172</v>
      </c>
      <c r="G166" s="81">
        <v>0</v>
      </c>
    </row>
    <row r="167" ht="15.75" spans="1:7">
      <c r="A167" s="283" t="s">
        <v>201</v>
      </c>
      <c r="B167" s="294">
        <v>1.98</v>
      </c>
      <c r="C167" s="79">
        <f t="shared" si="2"/>
        <v>1.719</v>
      </c>
      <c r="D167" s="113">
        <v>0</v>
      </c>
      <c r="E167" s="80">
        <v>0</v>
      </c>
      <c r="F167" s="81">
        <v>0.0342676767676768</v>
      </c>
      <c r="G167" s="81">
        <v>0</v>
      </c>
    </row>
    <row r="168" ht="15.75" spans="1:7">
      <c r="A168" s="283" t="s">
        <v>202</v>
      </c>
      <c r="B168" s="294">
        <v>2.373</v>
      </c>
      <c r="C168" s="79">
        <f t="shared" si="2"/>
        <v>1.98</v>
      </c>
      <c r="D168" s="113">
        <v>0.149058154235145</v>
      </c>
      <c r="E168" s="80">
        <v>0.0149058154235145</v>
      </c>
      <c r="F168" s="81">
        <v>0.0709228824273072</v>
      </c>
      <c r="G168" s="81">
        <v>0</v>
      </c>
    </row>
    <row r="169" ht="15.75" spans="1:7">
      <c r="A169" s="283" t="s">
        <v>203</v>
      </c>
      <c r="B169" s="294">
        <v>2.858</v>
      </c>
      <c r="C169" s="79">
        <f t="shared" si="2"/>
        <v>2.373</v>
      </c>
      <c r="D169" s="113">
        <v>0.293462211336599</v>
      </c>
      <c r="E169" s="80">
        <v>0.0293462211336599</v>
      </c>
      <c r="F169" s="81">
        <v>0.126766969909027</v>
      </c>
      <c r="G169" s="81">
        <v>0</v>
      </c>
    </row>
    <row r="170" ht="15.75" spans="1:7">
      <c r="A170" s="283" t="s">
        <v>204</v>
      </c>
      <c r="B170" s="294">
        <v>3.425</v>
      </c>
      <c r="C170" s="79">
        <f t="shared" si="2"/>
        <v>2.858</v>
      </c>
      <c r="D170" s="113">
        <v>0.410427737226277</v>
      </c>
      <c r="E170" s="80">
        <v>0.0462566423357664</v>
      </c>
      <c r="F170" s="81">
        <v>0.172</v>
      </c>
      <c r="G170" s="81">
        <v>0</v>
      </c>
    </row>
    <row r="171" ht="15.75" spans="1:7">
      <c r="A171" s="283" t="s">
        <v>205</v>
      </c>
      <c r="B171" s="294">
        <v>3.99</v>
      </c>
      <c r="C171" s="79">
        <f t="shared" si="2"/>
        <v>3.425</v>
      </c>
      <c r="D171" s="113">
        <v>0.493913533834586</v>
      </c>
      <c r="E171" s="80">
        <v>0.0963481203007519</v>
      </c>
      <c r="F171" s="81">
        <v>0.204285714285714</v>
      </c>
      <c r="G171" s="81">
        <v>0</v>
      </c>
    </row>
    <row r="172" ht="15.75" spans="1:7">
      <c r="A172" s="283" t="s">
        <v>206</v>
      </c>
      <c r="B172" s="294">
        <v>4.764</v>
      </c>
      <c r="C172" s="79">
        <f t="shared" si="2"/>
        <v>3.99</v>
      </c>
      <c r="D172" s="113">
        <v>0.576136649874055</v>
      </c>
      <c r="E172" s="80">
        <v>0.145681989924433</v>
      </c>
      <c r="F172" s="81">
        <v>0.236083123425693</v>
      </c>
      <c r="G172" s="81">
        <v>0</v>
      </c>
    </row>
    <row r="173" ht="15.75" spans="1:7">
      <c r="A173" s="283" t="s">
        <v>207</v>
      </c>
      <c r="B173" s="294">
        <v>5.502</v>
      </c>
      <c r="C173" s="79">
        <f t="shared" si="2"/>
        <v>4.764</v>
      </c>
      <c r="D173" s="113">
        <v>0.632990730643402</v>
      </c>
      <c r="E173" s="80">
        <v>0.179794438386041</v>
      </c>
      <c r="F173" s="81">
        <v>0.258069792802617</v>
      </c>
      <c r="G173" s="81">
        <v>0</v>
      </c>
    </row>
    <row r="174" ht="15.75" spans="1:7">
      <c r="A174" s="283" t="s">
        <v>208</v>
      </c>
      <c r="B174" s="294">
        <v>6.086</v>
      </c>
      <c r="C174" s="79">
        <f t="shared" si="2"/>
        <v>5.502</v>
      </c>
      <c r="D174" s="113">
        <v>0.668208182714427</v>
      </c>
      <c r="E174" s="80">
        <v>0.200924909628656</v>
      </c>
      <c r="F174" s="81">
        <v>0.271689122576405</v>
      </c>
      <c r="G174" s="81">
        <v>0</v>
      </c>
    </row>
    <row r="175" ht="15.75" spans="1:7">
      <c r="A175" s="283" t="s">
        <v>209</v>
      </c>
      <c r="B175" s="294">
        <v>6.986</v>
      </c>
      <c r="C175" s="79">
        <f t="shared" si="2"/>
        <v>6.086</v>
      </c>
      <c r="D175" s="113">
        <v>0.710952619524764</v>
      </c>
      <c r="E175" s="80">
        <v>0.226571571714858</v>
      </c>
      <c r="F175" s="81">
        <v>0.288219295734326</v>
      </c>
      <c r="G175" s="81">
        <v>0</v>
      </c>
    </row>
    <row r="176" ht="15.75" spans="1:7">
      <c r="A176" s="283" t="s">
        <v>210</v>
      </c>
      <c r="B176" s="294">
        <v>7.893</v>
      </c>
      <c r="C176" s="79">
        <f t="shared" si="2"/>
        <v>6.986</v>
      </c>
      <c r="D176" s="113">
        <v>0.744167616875713</v>
      </c>
      <c r="E176" s="80">
        <v>0.246500570125428</v>
      </c>
      <c r="F176" s="81">
        <v>0.301064234131509</v>
      </c>
      <c r="G176" s="81">
        <v>0</v>
      </c>
    </row>
    <row r="177" ht="15.75" spans="1:7">
      <c r="A177" s="283" t="s">
        <v>211</v>
      </c>
      <c r="B177" s="294">
        <v>8.803</v>
      </c>
      <c r="C177" s="79">
        <f t="shared" si="2"/>
        <v>7.893</v>
      </c>
      <c r="D177" s="113">
        <v>0.770613995228899</v>
      </c>
      <c r="E177" s="80">
        <v>0.26236839713734</v>
      </c>
      <c r="F177" s="81">
        <v>0.311291605134613</v>
      </c>
      <c r="G177" s="81">
        <v>0</v>
      </c>
    </row>
    <row r="178" ht="15.75" spans="1:7">
      <c r="A178" s="283" t="s">
        <v>212</v>
      </c>
      <c r="B178" s="294">
        <v>10.053</v>
      </c>
      <c r="C178" s="79">
        <f t="shared" si="2"/>
        <v>8.803</v>
      </c>
      <c r="D178" s="113">
        <v>0.799136078782453</v>
      </c>
      <c r="E178" s="80">
        <v>0.279481647269472</v>
      </c>
      <c r="F178" s="81">
        <v>0.322321695016413</v>
      </c>
      <c r="G178" s="81">
        <v>0</v>
      </c>
    </row>
    <row r="179" ht="15.75" spans="1:7">
      <c r="A179" s="283" t="s">
        <v>213</v>
      </c>
      <c r="B179" s="294">
        <v>11.569</v>
      </c>
      <c r="C179" s="79">
        <f t="shared" si="2"/>
        <v>10.053</v>
      </c>
      <c r="D179" s="113">
        <v>0.825457256461233</v>
      </c>
      <c r="E179" s="80">
        <v>0.29527435387674</v>
      </c>
      <c r="F179" s="81">
        <v>0.332500648284208</v>
      </c>
      <c r="G179" s="81">
        <v>0</v>
      </c>
    </row>
    <row r="180" ht="15.75" spans="1:7">
      <c r="A180" s="283" t="s">
        <v>214</v>
      </c>
      <c r="B180" s="294">
        <v>13.764</v>
      </c>
      <c r="C180" s="79">
        <f t="shared" si="2"/>
        <v>11.569</v>
      </c>
      <c r="D180" s="113">
        <v>0.853292284219704</v>
      </c>
      <c r="E180" s="80">
        <v>0.311975370531822</v>
      </c>
      <c r="F180" s="81">
        <v>0.343265039232781</v>
      </c>
      <c r="G180" s="81">
        <v>0.0106364428945074</v>
      </c>
    </row>
    <row r="181" ht="15.75" spans="1:7">
      <c r="A181" s="283" t="s">
        <v>215</v>
      </c>
      <c r="B181" s="294">
        <v>15.763</v>
      </c>
      <c r="C181" s="79">
        <f t="shared" si="2"/>
        <v>13.764</v>
      </c>
      <c r="D181" s="113">
        <v>0.871897164245385</v>
      </c>
      <c r="E181" s="80">
        <v>0.323138298547231</v>
      </c>
      <c r="F181" s="81">
        <v>0.350459937829093</v>
      </c>
      <c r="G181" s="81">
        <v>0.0219691683055256</v>
      </c>
    </row>
    <row r="182" ht="15.75" spans="1:7">
      <c r="A182" s="283" t="s">
        <v>216</v>
      </c>
      <c r="B182" s="294">
        <v>18.342</v>
      </c>
      <c r="C182" s="79">
        <f t="shared" si="2"/>
        <v>15.763</v>
      </c>
      <c r="D182" s="113">
        <v>0.889909224730128</v>
      </c>
      <c r="E182" s="80">
        <v>0.333945534838077</v>
      </c>
      <c r="F182" s="81">
        <v>0.357425580634609</v>
      </c>
      <c r="G182" s="81">
        <v>0.0329407916257769</v>
      </c>
    </row>
    <row r="183" ht="15.75" spans="1:7">
      <c r="A183" s="283" t="s">
        <v>217</v>
      </c>
      <c r="B183" s="294">
        <v>21.11</v>
      </c>
      <c r="C183" s="79">
        <f t="shared" si="2"/>
        <v>18.342</v>
      </c>
      <c r="D183" s="113">
        <v>0.904344623401232</v>
      </c>
      <c r="E183" s="80">
        <v>0.342606774040739</v>
      </c>
      <c r="F183" s="81">
        <v>0.363008053055424</v>
      </c>
      <c r="G183" s="81">
        <v>0.0504026527711985</v>
      </c>
    </row>
    <row r="184" ht="15.75" spans="1:7">
      <c r="A184" s="283" t="s">
        <v>218</v>
      </c>
      <c r="B184" s="294">
        <v>25.236</v>
      </c>
      <c r="C184" s="79">
        <f t="shared" si="2"/>
        <v>21.11</v>
      </c>
      <c r="D184" s="113">
        <v>0.91998395149786</v>
      </c>
      <c r="E184" s="80">
        <v>0.351990370898716</v>
      </c>
      <c r="F184" s="81">
        <v>0.369056110318593</v>
      </c>
      <c r="G184" s="81">
        <v>0.10756062767475</v>
      </c>
    </row>
    <row r="185" ht="15.75" spans="1:7">
      <c r="A185" s="283" t="s">
        <v>219</v>
      </c>
      <c r="B185" s="294">
        <v>30.574</v>
      </c>
      <c r="C185" s="79">
        <f t="shared" si="2"/>
        <v>25.236</v>
      </c>
      <c r="D185" s="113">
        <v>0.933954176751488</v>
      </c>
      <c r="E185" s="80">
        <v>0.360372506050893</v>
      </c>
      <c r="F185" s="81">
        <v>0.374458690390528</v>
      </c>
      <c r="G185" s="81">
        <v>0.158618433963498</v>
      </c>
    </row>
    <row r="186" ht="15.75" spans="1:7">
      <c r="A186" s="283" t="s">
        <v>220</v>
      </c>
      <c r="B186" s="294">
        <v>38.439</v>
      </c>
      <c r="C186" s="79">
        <f t="shared" si="2"/>
        <v>30.574</v>
      </c>
      <c r="D186" s="113">
        <v>0.947467806134395</v>
      </c>
      <c r="E186" s="80">
        <v>0.368480683680637</v>
      </c>
      <c r="F186" s="81">
        <v>0.379684695231406</v>
      </c>
      <c r="G186" s="81">
        <v>0.208007492390541</v>
      </c>
    </row>
    <row r="187" ht="15.75" spans="1:7">
      <c r="A187" s="283" t="s">
        <v>221</v>
      </c>
      <c r="B187" s="294">
        <v>51.385</v>
      </c>
      <c r="C187" s="79">
        <f t="shared" si="2"/>
        <v>38.439</v>
      </c>
      <c r="D187" s="113">
        <v>0.960702831565632</v>
      </c>
      <c r="E187" s="80">
        <v>0.376421698939379</v>
      </c>
      <c r="F187" s="81">
        <v>0.384802958061691</v>
      </c>
      <c r="G187" s="81">
        <v>0.256378320521553</v>
      </c>
    </row>
    <row r="188" ht="15.75" spans="1:7">
      <c r="A188" s="283" t="s">
        <v>221</v>
      </c>
      <c r="B188" s="93" t="s">
        <v>376</v>
      </c>
      <c r="C188" s="79">
        <f t="shared" si="2"/>
        <v>51.385</v>
      </c>
      <c r="D188" s="260"/>
      <c r="E188" s="72"/>
      <c r="F188" s="73"/>
      <c r="G188" s="84"/>
    </row>
    <row r="189" ht="15.75" spans="1:7">
      <c r="A189" s="257"/>
      <c r="B189" s="257">
        <v>5.4</v>
      </c>
      <c r="C189" s="116"/>
      <c r="D189" s="260"/>
      <c r="E189" s="261">
        <v>0.0958477182956831</v>
      </c>
      <c r="F189" s="262">
        <v>0.117743044223621</v>
      </c>
      <c r="G189" s="262">
        <v>0.016930278602947</v>
      </c>
    </row>
    <row r="190" ht="48.75" spans="1:7">
      <c r="A190" s="256" t="s">
        <v>233</v>
      </c>
      <c r="B190" s="257">
        <v>22.3</v>
      </c>
      <c r="C190" s="116"/>
      <c r="D190" s="260"/>
      <c r="E190" s="263">
        <v>3.365475</v>
      </c>
      <c r="F190" s="264">
        <v>2.16916666666667</v>
      </c>
      <c r="G190" s="265">
        <v>22.3</v>
      </c>
    </row>
    <row r="191" ht="48.75" spans="1:7">
      <c r="A191" s="256" t="s">
        <v>224</v>
      </c>
      <c r="B191" s="116">
        <v>9.38</v>
      </c>
      <c r="C191" s="116"/>
      <c r="D191" s="72"/>
      <c r="E191" s="72"/>
      <c r="F191" s="73"/>
      <c r="G191" s="73"/>
    </row>
    <row r="192" ht="84.75" spans="1:7">
      <c r="A192" s="266" t="s">
        <v>225</v>
      </c>
      <c r="B192" s="78">
        <v>5.628</v>
      </c>
      <c r="C192" s="116"/>
      <c r="D192" s="72"/>
      <c r="E192" s="72">
        <v>2.019285</v>
      </c>
      <c r="F192" s="73">
        <v>1.3015</v>
      </c>
      <c r="G192" s="73">
        <v>13.38</v>
      </c>
    </row>
    <row r="195" spans="1:3">
      <c r="A195" s="531" t="s">
        <v>226</v>
      </c>
      <c r="B195" s="95">
        <f>AVERAGE(B143:B182)</f>
        <v>3.365475</v>
      </c>
      <c r="C195" s="95"/>
    </row>
    <row r="196" spans="1:3">
      <c r="A196" s="531" t="s">
        <v>227</v>
      </c>
      <c r="B196" s="96">
        <f>AVERAGE(B148:B177)</f>
        <v>2.16916666666667</v>
      </c>
      <c r="C196" s="96"/>
    </row>
    <row r="197" spans="1:3">
      <c r="A197" s="531" t="s">
        <v>228</v>
      </c>
      <c r="B197" s="96">
        <f>AVERAGE(B154:B172)</f>
        <v>1.54626315789474</v>
      </c>
      <c r="C197" s="96"/>
    </row>
    <row r="200" customHeight="1" spans="1:7">
      <c r="A200" s="83" t="s">
        <v>165</v>
      </c>
      <c r="B200" s="83" t="s">
        <v>234</v>
      </c>
      <c r="C200" s="83"/>
      <c r="D200" s="83"/>
      <c r="E200" s="86">
        <f>(1-E255)^(1/3)-1</f>
        <v>-0.0328831053558289</v>
      </c>
      <c r="F200" s="86">
        <f>(1-F255)^(1/3)-1</f>
        <v>-0.0412200649506684</v>
      </c>
      <c r="G200" s="86"/>
    </row>
    <row r="201" ht="72" spans="1:7">
      <c r="A201" s="83"/>
      <c r="B201" s="83" t="s">
        <v>167</v>
      </c>
      <c r="C201" s="83"/>
      <c r="D201" s="83" t="s">
        <v>168</v>
      </c>
      <c r="E201" s="83" t="s">
        <v>169</v>
      </c>
      <c r="F201" s="84" t="s">
        <v>169</v>
      </c>
      <c r="G201" s="84"/>
    </row>
    <row r="202" ht="24" spans="1:7">
      <c r="A202" s="83"/>
      <c r="B202" s="83" t="s">
        <v>235</v>
      </c>
      <c r="C202" s="83"/>
      <c r="D202" s="83" t="s">
        <v>171</v>
      </c>
      <c r="E202" s="534" t="s">
        <v>227</v>
      </c>
      <c r="F202" s="84"/>
      <c r="G202" s="267"/>
    </row>
    <row r="203" spans="1:7">
      <c r="A203" s="75">
        <v>1</v>
      </c>
      <c r="B203" s="76">
        <v>2</v>
      </c>
      <c r="C203" s="76"/>
      <c r="D203" s="76">
        <v>3</v>
      </c>
      <c r="E203" s="76">
        <v>4</v>
      </c>
      <c r="F203" s="77">
        <v>5</v>
      </c>
      <c r="G203" s="77"/>
    </row>
    <row r="204" spans="1:7">
      <c r="A204" s="530" t="s">
        <v>172</v>
      </c>
      <c r="B204" s="294">
        <v>0.004</v>
      </c>
      <c r="C204" s="89">
        <v>0</v>
      </c>
      <c r="D204" s="80">
        <v>0</v>
      </c>
      <c r="E204" s="80">
        <v>0</v>
      </c>
      <c r="F204" s="81">
        <v>0</v>
      </c>
      <c r="G204" s="81">
        <v>0</v>
      </c>
    </row>
    <row r="205" spans="1:7">
      <c r="A205" s="530" t="s">
        <v>173</v>
      </c>
      <c r="B205" s="294">
        <v>0.004</v>
      </c>
      <c r="C205" s="79">
        <f>B204</f>
        <v>0.004</v>
      </c>
      <c r="D205" s="80">
        <v>0</v>
      </c>
      <c r="E205" s="80">
        <v>0</v>
      </c>
      <c r="F205" s="81">
        <v>0</v>
      </c>
      <c r="G205" s="81">
        <v>0</v>
      </c>
    </row>
    <row r="206" spans="1:7">
      <c r="A206" s="530" t="s">
        <v>174</v>
      </c>
      <c r="B206" s="294">
        <v>0.006</v>
      </c>
      <c r="C206" s="79">
        <f t="shared" ref="C206:C254" si="3">B205</f>
        <v>0.004</v>
      </c>
      <c r="D206" s="80">
        <v>0</v>
      </c>
      <c r="E206" s="80">
        <v>0</v>
      </c>
      <c r="F206" s="81">
        <v>0</v>
      </c>
      <c r="G206" s="81">
        <v>0</v>
      </c>
    </row>
    <row r="207" spans="1:7">
      <c r="A207" s="530" t="s">
        <v>175</v>
      </c>
      <c r="B207" s="294">
        <v>0.008</v>
      </c>
      <c r="C207" s="79">
        <f t="shared" si="3"/>
        <v>0.006</v>
      </c>
      <c r="D207" s="80">
        <v>0</v>
      </c>
      <c r="E207" s="80">
        <v>0</v>
      </c>
      <c r="F207" s="81">
        <v>0</v>
      </c>
      <c r="G207" s="81">
        <v>0</v>
      </c>
    </row>
    <row r="208" spans="1:7">
      <c r="A208" s="530" t="s">
        <v>176</v>
      </c>
      <c r="B208" s="294">
        <v>0.01</v>
      </c>
      <c r="C208" s="79">
        <f t="shared" si="3"/>
        <v>0.008</v>
      </c>
      <c r="D208" s="80">
        <v>0</v>
      </c>
      <c r="E208" s="80">
        <v>0</v>
      </c>
      <c r="F208" s="81">
        <v>0</v>
      </c>
      <c r="G208" s="81">
        <v>0</v>
      </c>
    </row>
    <row r="209" spans="1:7">
      <c r="A209" s="530" t="s">
        <v>177</v>
      </c>
      <c r="B209" s="294">
        <v>0.013</v>
      </c>
      <c r="C209" s="79">
        <f t="shared" si="3"/>
        <v>0.01</v>
      </c>
      <c r="D209" s="80">
        <v>0</v>
      </c>
      <c r="E209" s="80">
        <v>0</v>
      </c>
      <c r="F209" s="81">
        <v>0</v>
      </c>
      <c r="G209" s="81">
        <v>0</v>
      </c>
    </row>
    <row r="210" spans="1:7">
      <c r="A210" s="530" t="s">
        <v>178</v>
      </c>
      <c r="B210" s="294">
        <v>0.017</v>
      </c>
      <c r="C210" s="79">
        <f t="shared" si="3"/>
        <v>0.013</v>
      </c>
      <c r="D210" s="80">
        <v>0</v>
      </c>
      <c r="E210" s="80">
        <v>0</v>
      </c>
      <c r="F210" s="81">
        <v>0</v>
      </c>
      <c r="G210" s="81">
        <v>0</v>
      </c>
    </row>
    <row r="211" spans="1:7">
      <c r="A211" s="78" t="s">
        <v>179</v>
      </c>
      <c r="B211" s="294">
        <v>0.023</v>
      </c>
      <c r="C211" s="79">
        <f t="shared" si="3"/>
        <v>0.017</v>
      </c>
      <c r="D211" s="80">
        <v>0</v>
      </c>
      <c r="E211" s="80">
        <v>0</v>
      </c>
      <c r="F211" s="81">
        <v>0</v>
      </c>
      <c r="G211" s="81">
        <v>0</v>
      </c>
    </row>
    <row r="212" spans="1:7">
      <c r="A212" s="78" t="s">
        <v>180</v>
      </c>
      <c r="B212" s="294">
        <v>0.029</v>
      </c>
      <c r="C212" s="79">
        <f t="shared" si="3"/>
        <v>0.023</v>
      </c>
      <c r="D212" s="80">
        <v>0</v>
      </c>
      <c r="E212" s="80">
        <v>0</v>
      </c>
      <c r="F212" s="81">
        <v>0</v>
      </c>
      <c r="G212" s="81">
        <v>0</v>
      </c>
    </row>
    <row r="213" spans="1:7">
      <c r="A213" s="78" t="s">
        <v>181</v>
      </c>
      <c r="B213" s="294">
        <v>0.038</v>
      </c>
      <c r="C213" s="79">
        <f t="shared" si="3"/>
        <v>0.029</v>
      </c>
      <c r="D213" s="80">
        <v>0</v>
      </c>
      <c r="E213" s="80">
        <v>0</v>
      </c>
      <c r="F213" s="81">
        <v>0</v>
      </c>
      <c r="G213" s="81">
        <v>0</v>
      </c>
    </row>
    <row r="214" spans="1:7">
      <c r="A214" s="78" t="s">
        <v>182</v>
      </c>
      <c r="B214" s="294">
        <v>0.049</v>
      </c>
      <c r="C214" s="79">
        <f t="shared" si="3"/>
        <v>0.038</v>
      </c>
      <c r="D214" s="80">
        <v>0</v>
      </c>
      <c r="E214" s="80">
        <v>0</v>
      </c>
      <c r="F214" s="81">
        <v>0</v>
      </c>
      <c r="G214" s="81">
        <v>0</v>
      </c>
    </row>
    <row r="215" spans="1:7">
      <c r="A215" s="78" t="s">
        <v>183</v>
      </c>
      <c r="B215" s="294">
        <v>0.07</v>
      </c>
      <c r="C215" s="79">
        <f t="shared" si="3"/>
        <v>0.049</v>
      </c>
      <c r="D215" s="80">
        <v>0</v>
      </c>
      <c r="E215" s="80">
        <v>0</v>
      </c>
      <c r="F215" s="81">
        <v>0</v>
      </c>
      <c r="G215" s="81">
        <v>0</v>
      </c>
    </row>
    <row r="216" spans="1:7">
      <c r="A216" s="78" t="s">
        <v>184</v>
      </c>
      <c r="B216" s="294">
        <v>0.098</v>
      </c>
      <c r="C216" s="79">
        <f t="shared" si="3"/>
        <v>0.07</v>
      </c>
      <c r="D216" s="80">
        <v>0</v>
      </c>
      <c r="E216" s="80">
        <v>0</v>
      </c>
      <c r="F216" s="81">
        <v>0</v>
      </c>
      <c r="G216" s="81">
        <v>0</v>
      </c>
    </row>
    <row r="217" spans="1:7">
      <c r="A217" s="78" t="s">
        <v>185</v>
      </c>
      <c r="B217" s="294">
        <v>0.131</v>
      </c>
      <c r="C217" s="79">
        <f t="shared" si="3"/>
        <v>0.098</v>
      </c>
      <c r="D217" s="80">
        <v>0</v>
      </c>
      <c r="E217" s="80">
        <v>0</v>
      </c>
      <c r="F217" s="81">
        <v>0</v>
      </c>
      <c r="G217" s="81">
        <v>0</v>
      </c>
    </row>
    <row r="218" spans="1:7">
      <c r="A218" s="78" t="s">
        <v>186</v>
      </c>
      <c r="B218" s="294">
        <v>0.18</v>
      </c>
      <c r="C218" s="79">
        <f t="shared" si="3"/>
        <v>0.131</v>
      </c>
      <c r="D218" s="80">
        <v>0</v>
      </c>
      <c r="E218" s="80">
        <v>0</v>
      </c>
      <c r="F218" s="81">
        <v>0</v>
      </c>
      <c r="G218" s="81">
        <v>0</v>
      </c>
    </row>
    <row r="219" spans="1:7">
      <c r="A219" s="78" t="s">
        <v>187</v>
      </c>
      <c r="B219" s="294">
        <v>0.264</v>
      </c>
      <c r="C219" s="79">
        <f t="shared" si="3"/>
        <v>0.18</v>
      </c>
      <c r="D219" s="80">
        <v>0</v>
      </c>
      <c r="E219" s="80">
        <v>0</v>
      </c>
      <c r="F219" s="81">
        <v>0</v>
      </c>
      <c r="G219" s="81">
        <v>0</v>
      </c>
    </row>
    <row r="220" spans="1:7">
      <c r="A220" s="78" t="s">
        <v>188</v>
      </c>
      <c r="B220" s="294">
        <v>0.37</v>
      </c>
      <c r="C220" s="79">
        <f t="shared" si="3"/>
        <v>0.264</v>
      </c>
      <c r="D220" s="80">
        <v>0</v>
      </c>
      <c r="E220" s="80">
        <v>0</v>
      </c>
      <c r="F220" s="81">
        <v>0</v>
      </c>
      <c r="G220" s="81">
        <v>0</v>
      </c>
    </row>
    <row r="221" spans="1:7">
      <c r="A221" s="78" t="s">
        <v>189</v>
      </c>
      <c r="B221" s="294">
        <v>0.505</v>
      </c>
      <c r="C221" s="79">
        <f t="shared" si="3"/>
        <v>0.37</v>
      </c>
      <c r="D221" s="80">
        <v>0</v>
      </c>
      <c r="E221" s="80">
        <v>0</v>
      </c>
      <c r="F221" s="81">
        <v>0</v>
      </c>
      <c r="G221" s="81">
        <v>0</v>
      </c>
    </row>
    <row r="222" spans="1:7">
      <c r="A222" s="78" t="s">
        <v>190</v>
      </c>
      <c r="B222" s="294">
        <v>0.651</v>
      </c>
      <c r="C222" s="79">
        <f t="shared" si="3"/>
        <v>0.505</v>
      </c>
      <c r="D222" s="80">
        <v>0</v>
      </c>
      <c r="E222" s="80">
        <v>0</v>
      </c>
      <c r="F222" s="81">
        <v>0</v>
      </c>
      <c r="G222" s="81">
        <v>0</v>
      </c>
    </row>
    <row r="223" spans="1:7">
      <c r="A223" s="78" t="s">
        <v>191</v>
      </c>
      <c r="B223" s="294">
        <v>0.83</v>
      </c>
      <c r="C223" s="79">
        <f t="shared" si="3"/>
        <v>0.651</v>
      </c>
      <c r="D223" s="80">
        <v>0</v>
      </c>
      <c r="E223" s="80">
        <v>0</v>
      </c>
      <c r="F223" s="81">
        <v>0</v>
      </c>
      <c r="G223" s="81">
        <v>0</v>
      </c>
    </row>
    <row r="224" spans="1:7">
      <c r="A224" s="78" t="s">
        <v>192</v>
      </c>
      <c r="B224" s="294">
        <v>1.031</v>
      </c>
      <c r="C224" s="79">
        <f t="shared" si="3"/>
        <v>0.83</v>
      </c>
      <c r="D224" s="80">
        <v>0</v>
      </c>
      <c r="E224" s="80">
        <v>0</v>
      </c>
      <c r="F224" s="81">
        <v>0</v>
      </c>
      <c r="G224" s="81">
        <v>0</v>
      </c>
    </row>
    <row r="225" spans="1:7">
      <c r="A225" s="78" t="s">
        <v>193</v>
      </c>
      <c r="B225" s="294">
        <v>1.238</v>
      </c>
      <c r="C225" s="79">
        <f t="shared" si="3"/>
        <v>1.031</v>
      </c>
      <c r="D225" s="80">
        <v>0</v>
      </c>
      <c r="E225" s="80">
        <v>0</v>
      </c>
      <c r="F225" s="81">
        <v>0</v>
      </c>
      <c r="G225" s="81">
        <v>0</v>
      </c>
    </row>
    <row r="226" spans="1:7">
      <c r="A226" s="78" t="s">
        <v>194</v>
      </c>
      <c r="B226" s="294">
        <v>1.448</v>
      </c>
      <c r="C226" s="79">
        <f t="shared" si="3"/>
        <v>1.238</v>
      </c>
      <c r="D226" s="80">
        <v>0</v>
      </c>
      <c r="E226" s="80">
        <v>0</v>
      </c>
      <c r="F226" s="81">
        <v>0</v>
      </c>
      <c r="G226" s="81">
        <v>0</v>
      </c>
    </row>
    <row r="227" spans="1:7">
      <c r="A227" s="78" t="s">
        <v>195</v>
      </c>
      <c r="B227" s="294">
        <v>1.682</v>
      </c>
      <c r="C227" s="79">
        <f t="shared" si="3"/>
        <v>1.448</v>
      </c>
      <c r="D227" s="80">
        <v>0</v>
      </c>
      <c r="E227" s="80">
        <v>0</v>
      </c>
      <c r="F227" s="81">
        <v>0</v>
      </c>
      <c r="G227" s="81">
        <v>0</v>
      </c>
    </row>
    <row r="228" spans="1:7">
      <c r="A228" s="78" t="s">
        <v>196</v>
      </c>
      <c r="B228" s="294">
        <v>1.958</v>
      </c>
      <c r="C228" s="79">
        <f t="shared" si="3"/>
        <v>1.682</v>
      </c>
      <c r="D228" s="80">
        <v>0</v>
      </c>
      <c r="E228" s="80">
        <v>0</v>
      </c>
      <c r="F228" s="81">
        <v>0</v>
      </c>
      <c r="G228" s="81">
        <v>0</v>
      </c>
    </row>
    <row r="229" spans="1:7">
      <c r="A229" s="78" t="s">
        <v>197</v>
      </c>
      <c r="B229" s="294">
        <v>2.287</v>
      </c>
      <c r="C229" s="79">
        <f t="shared" si="3"/>
        <v>1.958</v>
      </c>
      <c r="D229" s="80">
        <v>0</v>
      </c>
      <c r="E229" s="80">
        <v>0</v>
      </c>
      <c r="F229" s="81">
        <v>0</v>
      </c>
      <c r="G229" s="81">
        <v>0</v>
      </c>
    </row>
    <row r="230" spans="1:7">
      <c r="A230" s="78" t="s">
        <v>198</v>
      </c>
      <c r="B230" s="294">
        <v>2.699</v>
      </c>
      <c r="C230" s="79">
        <f t="shared" si="3"/>
        <v>2.287</v>
      </c>
      <c r="D230" s="80">
        <v>0</v>
      </c>
      <c r="E230" s="80">
        <v>0</v>
      </c>
      <c r="F230" s="81">
        <v>0.00325750277880697</v>
      </c>
      <c r="G230" s="81">
        <v>0</v>
      </c>
    </row>
    <row r="231" spans="1:7">
      <c r="A231" s="78" t="s">
        <v>199</v>
      </c>
      <c r="B231" s="294">
        <v>3.091</v>
      </c>
      <c r="C231" s="79">
        <f t="shared" si="3"/>
        <v>2.699</v>
      </c>
      <c r="D231" s="80">
        <v>0</v>
      </c>
      <c r="E231" s="80">
        <v>0</v>
      </c>
      <c r="F231" s="81">
        <v>0.0155263668715626</v>
      </c>
      <c r="G231" s="81">
        <v>0</v>
      </c>
    </row>
    <row r="232" spans="1:7">
      <c r="A232" s="78" t="s">
        <v>200</v>
      </c>
      <c r="B232" s="294">
        <v>3.562</v>
      </c>
      <c r="C232" s="79">
        <f t="shared" si="3"/>
        <v>3.091</v>
      </c>
      <c r="D232" s="80">
        <v>0</v>
      </c>
      <c r="E232" s="80">
        <v>0</v>
      </c>
      <c r="F232" s="81">
        <v>0.0266962380685008</v>
      </c>
      <c r="G232" s="81">
        <v>0</v>
      </c>
    </row>
    <row r="233" spans="1:7">
      <c r="A233" s="78" t="s">
        <v>201</v>
      </c>
      <c r="B233" s="294">
        <v>4.24</v>
      </c>
      <c r="C233" s="79">
        <f t="shared" si="3"/>
        <v>3.562</v>
      </c>
      <c r="D233" s="80">
        <v>0.0230259433962265</v>
      </c>
      <c r="E233" s="80"/>
      <c r="F233" s="81"/>
      <c r="G233" s="81"/>
    </row>
    <row r="234" spans="1:7">
      <c r="A234" s="78" t="s">
        <v>202</v>
      </c>
      <c r="B234" s="294">
        <v>4.965</v>
      </c>
      <c r="C234" s="79">
        <f t="shared" si="3"/>
        <v>4.24</v>
      </c>
      <c r="D234" s="80">
        <v>0.16568580060423</v>
      </c>
      <c r="E234" s="80">
        <v>0.016568580060423</v>
      </c>
      <c r="F234" s="81">
        <v>0.0844616314199396</v>
      </c>
      <c r="G234" s="81">
        <v>0</v>
      </c>
    </row>
    <row r="235" spans="1:7">
      <c r="A235" s="78" t="s">
        <v>203</v>
      </c>
      <c r="B235" s="294">
        <v>5.772</v>
      </c>
      <c r="C235" s="79">
        <f t="shared" si="3"/>
        <v>4.965</v>
      </c>
      <c r="D235" s="80">
        <v>0.28233367983368</v>
      </c>
      <c r="E235" s="80">
        <v>0.028233367983368</v>
      </c>
      <c r="F235" s="81">
        <v>0.128577962577963</v>
      </c>
      <c r="G235" s="81">
        <v>0</v>
      </c>
    </row>
    <row r="236" spans="1:7">
      <c r="A236" s="78" t="s">
        <v>204</v>
      </c>
      <c r="B236" s="294">
        <v>6.72</v>
      </c>
      <c r="C236" s="79">
        <f t="shared" si="3"/>
        <v>5.772</v>
      </c>
      <c r="D236" s="80">
        <v>0.383575892857143</v>
      </c>
      <c r="E236" s="80">
        <v>0.0383575892857143</v>
      </c>
      <c r="F236" s="81">
        <v>0.166867857142857</v>
      </c>
      <c r="G236" s="81">
        <v>0</v>
      </c>
    </row>
    <row r="237" spans="1:7">
      <c r="A237" s="78" t="s">
        <v>205</v>
      </c>
      <c r="B237" s="294">
        <v>7.705</v>
      </c>
      <c r="C237" s="79">
        <f t="shared" si="3"/>
        <v>6.72</v>
      </c>
      <c r="D237" s="80">
        <v>0.462378974691759</v>
      </c>
      <c r="E237" s="80">
        <v>0.0774273848150552</v>
      </c>
      <c r="F237" s="81">
        <v>0.196671252433485</v>
      </c>
      <c r="G237" s="81">
        <v>0</v>
      </c>
    </row>
    <row r="238" spans="1:7">
      <c r="A238" s="78" t="s">
        <v>206</v>
      </c>
      <c r="B238" s="294">
        <v>8.871</v>
      </c>
      <c r="C238" s="79">
        <f t="shared" si="3"/>
        <v>7.705</v>
      </c>
      <c r="D238" s="80">
        <v>0.533043625295908</v>
      </c>
      <c r="E238" s="80">
        <v>0.119826175177545</v>
      </c>
      <c r="F238" s="81">
        <v>0.223396685830233</v>
      </c>
      <c r="G238" s="81">
        <v>0</v>
      </c>
    </row>
    <row r="239" spans="1:7">
      <c r="A239" s="78" t="s">
        <v>207</v>
      </c>
      <c r="B239" s="294">
        <v>10.246</v>
      </c>
      <c r="C239" s="79">
        <f t="shared" si="3"/>
        <v>8.871</v>
      </c>
      <c r="D239" s="80">
        <v>0.595708569197736</v>
      </c>
      <c r="E239" s="80">
        <v>0.157425141518641</v>
      </c>
      <c r="F239" s="81">
        <v>0.247096623072419</v>
      </c>
      <c r="G239" s="81">
        <v>0</v>
      </c>
    </row>
    <row r="240" spans="1:7">
      <c r="A240" s="78" t="s">
        <v>208</v>
      </c>
      <c r="B240" s="294">
        <v>11.846</v>
      </c>
      <c r="C240" s="79">
        <f t="shared" si="3"/>
        <v>10.246</v>
      </c>
      <c r="D240" s="80">
        <v>0.650314874219146</v>
      </c>
      <c r="E240" s="80">
        <v>0.190188924531487</v>
      </c>
      <c r="F240" s="81">
        <v>0.267748775958129</v>
      </c>
      <c r="G240" s="81">
        <v>0</v>
      </c>
    </row>
    <row r="241" spans="1:7">
      <c r="A241" s="78" t="s">
        <v>209</v>
      </c>
      <c r="B241" s="294">
        <v>13.81</v>
      </c>
      <c r="C241" s="79">
        <f t="shared" si="3"/>
        <v>11.846</v>
      </c>
      <c r="D241" s="80">
        <v>0.700045619116582</v>
      </c>
      <c r="E241" s="80">
        <v>0.220027371469949</v>
      </c>
      <c r="F241" s="81">
        <v>0.28655698769008</v>
      </c>
      <c r="G241" s="81">
        <v>0.0109341057204924</v>
      </c>
    </row>
    <row r="242" spans="1:7">
      <c r="A242" s="78" t="s">
        <v>210</v>
      </c>
      <c r="B242" s="294">
        <v>15.892</v>
      </c>
      <c r="C242" s="79">
        <f t="shared" si="3"/>
        <v>13.81</v>
      </c>
      <c r="D242" s="80">
        <v>0.739342436446011</v>
      </c>
      <c r="E242" s="80">
        <v>0.243605461867606</v>
      </c>
      <c r="F242" s="81">
        <v>0.301419078781777</v>
      </c>
      <c r="G242" s="81">
        <v>0.022602567329474</v>
      </c>
    </row>
    <row r="243" spans="1:7">
      <c r="A243" s="78" t="s">
        <v>211</v>
      </c>
      <c r="B243" s="294">
        <v>18.343</v>
      </c>
      <c r="C243" s="79">
        <f t="shared" si="3"/>
        <v>15.892</v>
      </c>
      <c r="D243" s="80">
        <v>0.774171618601101</v>
      </c>
      <c r="E243" s="80">
        <v>0.264502971160661</v>
      </c>
      <c r="F243" s="81">
        <v>0.31459150629668</v>
      </c>
      <c r="G243" s="81">
        <v>0.0329444474731505</v>
      </c>
    </row>
    <row r="244" spans="1:7">
      <c r="A244" s="78" t="s">
        <v>212</v>
      </c>
      <c r="B244" s="294">
        <v>21.316</v>
      </c>
      <c r="C244" s="79">
        <f t="shared" si="3"/>
        <v>18.343</v>
      </c>
      <c r="D244" s="80">
        <v>0.805668511915932</v>
      </c>
      <c r="E244" s="80">
        <v>0.283401107149559</v>
      </c>
      <c r="F244" s="81">
        <v>0.326503659223119</v>
      </c>
      <c r="G244" s="81">
        <v>0.0537811972227435</v>
      </c>
    </row>
    <row r="245" spans="1:7">
      <c r="A245" s="78" t="s">
        <v>213</v>
      </c>
      <c r="B245" s="294">
        <v>24.54</v>
      </c>
      <c r="C245" s="79">
        <f t="shared" si="3"/>
        <v>21.316</v>
      </c>
      <c r="D245" s="80">
        <v>0.831199266503667</v>
      </c>
      <c r="E245" s="80">
        <v>0.2987195599022</v>
      </c>
      <c r="F245" s="81">
        <v>0.336159413202934</v>
      </c>
      <c r="G245" s="81">
        <v>0.0992665036674817</v>
      </c>
    </row>
    <row r="246" spans="1:7">
      <c r="A246" s="78" t="s">
        <v>214</v>
      </c>
      <c r="B246" s="294">
        <v>27.842</v>
      </c>
      <c r="C246" s="79">
        <f t="shared" si="3"/>
        <v>24.54</v>
      </c>
      <c r="D246" s="80">
        <v>0.85121866245241</v>
      </c>
      <c r="E246" s="80">
        <v>0.310731197471446</v>
      </c>
      <c r="F246" s="81">
        <v>0.343730766467926</v>
      </c>
      <c r="G246" s="81">
        <v>0.134932835284822</v>
      </c>
    </row>
    <row r="247" spans="1:7">
      <c r="A247" s="78" t="s">
        <v>215</v>
      </c>
      <c r="B247" s="294">
        <v>32.661</v>
      </c>
      <c r="C247" s="79">
        <f t="shared" si="3"/>
        <v>27.842</v>
      </c>
      <c r="D247" s="80">
        <v>0.873170754110407</v>
      </c>
      <c r="E247" s="80">
        <v>0.323902452466244</v>
      </c>
      <c r="F247" s="81">
        <v>0.352033066960595</v>
      </c>
      <c r="G247" s="81">
        <v>0.174042435932764</v>
      </c>
    </row>
    <row r="248" spans="1:7">
      <c r="A248" s="78" t="s">
        <v>216</v>
      </c>
      <c r="B248" s="294">
        <v>39.125</v>
      </c>
      <c r="C248" s="79">
        <f t="shared" si="3"/>
        <v>32.661</v>
      </c>
      <c r="D248" s="80">
        <v>0.894124728434505</v>
      </c>
      <c r="E248" s="80">
        <v>0.336474837060703</v>
      </c>
      <c r="F248" s="81">
        <v>0.359957878594249</v>
      </c>
      <c r="G248" s="81">
        <v>0.211373801916933</v>
      </c>
    </row>
    <row r="249" spans="1:7">
      <c r="A249" s="78" t="s">
        <v>217</v>
      </c>
      <c r="B249" s="294">
        <v>48.35</v>
      </c>
      <c r="C249" s="79">
        <f t="shared" si="3"/>
        <v>39.125</v>
      </c>
      <c r="D249" s="80">
        <v>0.914325336091003</v>
      </c>
      <c r="E249" s="80">
        <v>0.348595201654602</v>
      </c>
      <c r="F249" s="81">
        <v>0.367597766287487</v>
      </c>
      <c r="G249" s="81">
        <v>0.247362978283351</v>
      </c>
    </row>
    <row r="250" spans="1:7">
      <c r="A250" s="78" t="s">
        <v>218</v>
      </c>
      <c r="B250" s="294">
        <v>62.789</v>
      </c>
      <c r="C250" s="79">
        <f t="shared" si="3"/>
        <v>48.35</v>
      </c>
      <c r="D250" s="80">
        <v>0.934027138511523</v>
      </c>
      <c r="E250" s="80">
        <v>0.360416283106914</v>
      </c>
      <c r="F250" s="81">
        <v>0.375049005399035</v>
      </c>
      <c r="G250" s="81">
        <v>0.282463488827661</v>
      </c>
    </row>
    <row r="251" spans="1:7">
      <c r="A251" s="78" t="s">
        <v>219</v>
      </c>
      <c r="B251" s="294">
        <v>87.924</v>
      </c>
      <c r="C251" s="79">
        <f t="shared" si="3"/>
        <v>62.789</v>
      </c>
      <c r="D251" s="80">
        <v>0.952886925071653</v>
      </c>
      <c r="E251" s="80">
        <v>0.371732155042992</v>
      </c>
      <c r="F251" s="81">
        <v>0.382181793366999</v>
      </c>
      <c r="G251" s="81">
        <v>0.316063873345162</v>
      </c>
    </row>
    <row r="252" spans="1:7">
      <c r="A252" s="78" t="s">
        <v>220</v>
      </c>
      <c r="B252" s="294">
        <v>151.781</v>
      </c>
      <c r="C252" s="79">
        <f t="shared" si="3"/>
        <v>87.924</v>
      </c>
      <c r="D252" s="80">
        <v>0.972708244114876</v>
      </c>
      <c r="E252" s="80">
        <v>0.383624946468926</v>
      </c>
      <c r="F252" s="81">
        <v>0.389678233771025</v>
      </c>
      <c r="G252" s="81">
        <v>0.351377313365968</v>
      </c>
    </row>
    <row r="253" spans="1:7">
      <c r="A253" s="78" t="s">
        <v>221</v>
      </c>
      <c r="B253" s="294">
        <v>619.116</v>
      </c>
      <c r="C253" s="79">
        <f t="shared" si="3"/>
        <v>151.781</v>
      </c>
      <c r="D253" s="80">
        <v>0.993309218304809</v>
      </c>
      <c r="E253" s="80">
        <v>0.395985530982885</v>
      </c>
      <c r="F253" s="81">
        <v>0.397469540441533</v>
      </c>
      <c r="G253" s="81">
        <v>0.388079778264493</v>
      </c>
    </row>
    <row r="254" spans="1:7">
      <c r="A254" s="78" t="s">
        <v>221</v>
      </c>
      <c r="B254" s="93" t="s">
        <v>377</v>
      </c>
      <c r="C254" s="79">
        <f t="shared" si="3"/>
        <v>619.116</v>
      </c>
      <c r="D254" s="117"/>
      <c r="E254" s="83"/>
      <c r="F254" s="84"/>
      <c r="G254" s="84"/>
    </row>
    <row r="255" spans="1:7">
      <c r="A255" s="78"/>
      <c r="B255" s="78"/>
      <c r="C255" s="78"/>
      <c r="D255" s="117"/>
      <c r="E255" s="85">
        <v>0.0954409766703309</v>
      </c>
      <c r="F255" s="86">
        <v>0.118632950343313</v>
      </c>
      <c r="G255" s="86">
        <v>0.0465045065326899</v>
      </c>
    </row>
    <row r="256" ht="48" spans="1:7">
      <c r="A256" s="87" t="s">
        <v>233</v>
      </c>
      <c r="B256" s="78">
        <v>20.5</v>
      </c>
      <c r="C256" s="78"/>
      <c r="D256" s="117"/>
      <c r="E256" s="127">
        <v>6.90395</v>
      </c>
      <c r="F256" s="128">
        <v>4.3518</v>
      </c>
      <c r="G256" s="129">
        <v>20.5</v>
      </c>
    </row>
    <row r="257" ht="48" spans="1:7">
      <c r="A257" s="87" t="s">
        <v>224</v>
      </c>
      <c r="B257" s="78">
        <v>30.25</v>
      </c>
      <c r="C257" s="78"/>
      <c r="D257" s="83"/>
      <c r="E257" s="83"/>
      <c r="F257" s="84"/>
      <c r="G257" s="84"/>
    </row>
    <row r="258" ht="84" spans="1:7">
      <c r="A258" s="106" t="s">
        <v>225</v>
      </c>
      <c r="B258" s="78">
        <v>18.15</v>
      </c>
      <c r="C258" s="78"/>
      <c r="D258" s="83"/>
      <c r="E258" s="83">
        <v>4.14237</v>
      </c>
      <c r="F258" s="84">
        <v>2.61108</v>
      </c>
      <c r="G258" s="84">
        <v>12.3</v>
      </c>
    </row>
    <row r="261" spans="1:3">
      <c r="A261" s="531" t="s">
        <v>226</v>
      </c>
      <c r="B261" s="95">
        <f>AVERAGE(B209:B248)</f>
        <v>6.90395</v>
      </c>
      <c r="C261" s="95"/>
    </row>
    <row r="262" spans="1:3">
      <c r="A262" s="531" t="s">
        <v>227</v>
      </c>
      <c r="B262" s="96">
        <f>AVERAGE(B214:B243)</f>
        <v>4.3518</v>
      </c>
      <c r="C262" s="96"/>
    </row>
    <row r="263" spans="1:3">
      <c r="A263" s="531" t="s">
        <v>228</v>
      </c>
      <c r="B263" s="96">
        <f>AVERAGE(B220:B238)</f>
        <v>3.13815789473684</v>
      </c>
      <c r="C263" s="96"/>
    </row>
    <row r="265" ht="15.75"/>
    <row r="266" customHeight="1" spans="1:7">
      <c r="A266" s="252" t="s">
        <v>165</v>
      </c>
      <c r="B266" s="268" t="s">
        <v>363</v>
      </c>
      <c r="C266" s="269"/>
      <c r="D266" s="270"/>
      <c r="E266" s="70">
        <f>(1-E321)^(1/3)-1</f>
        <v>-0.0323623465452108</v>
      </c>
      <c r="F266" s="70">
        <f>(1-F321)^(1/3)-1</f>
        <v>-0.0394371147102461</v>
      </c>
      <c r="G266" s="70"/>
    </row>
    <row r="267" ht="72.75" spans="1:7">
      <c r="A267" s="253"/>
      <c r="B267" s="83" t="s">
        <v>167</v>
      </c>
      <c r="C267" s="130"/>
      <c r="D267" s="83" t="s">
        <v>168</v>
      </c>
      <c r="E267" s="83" t="s">
        <v>169</v>
      </c>
      <c r="F267" s="84" t="s">
        <v>169</v>
      </c>
      <c r="G267" s="84"/>
    </row>
    <row r="268" ht="24.75" spans="1:7">
      <c r="A268" s="254"/>
      <c r="B268" s="257" t="s">
        <v>364</v>
      </c>
      <c r="D268" s="271" t="s">
        <v>171</v>
      </c>
      <c r="E268" s="271" t="s">
        <v>171</v>
      </c>
      <c r="F268" s="271" t="s">
        <v>171</v>
      </c>
      <c r="G268" s="271"/>
    </row>
    <row r="269" spans="1:7">
      <c r="A269" s="75">
        <v>1</v>
      </c>
      <c r="B269" s="76">
        <v>2</v>
      </c>
      <c r="D269" s="76">
        <v>3</v>
      </c>
      <c r="E269" s="76">
        <v>4</v>
      </c>
      <c r="F269" s="77">
        <v>5</v>
      </c>
      <c r="G269" s="77"/>
    </row>
    <row r="270" ht="15.75" spans="1:7">
      <c r="A270" s="537" t="s">
        <v>172</v>
      </c>
      <c r="B270" s="301">
        <v>0.01</v>
      </c>
      <c r="C270">
        <v>0</v>
      </c>
      <c r="D270" s="302">
        <v>0</v>
      </c>
      <c r="E270" s="302">
        <v>0</v>
      </c>
      <c r="F270" s="81">
        <v>0</v>
      </c>
      <c r="G270" s="81">
        <v>0.4</v>
      </c>
    </row>
    <row r="271" ht="15.75" spans="1:7">
      <c r="A271" s="537" t="s">
        <v>173</v>
      </c>
      <c r="B271" s="301">
        <v>0.01</v>
      </c>
      <c r="C271" s="79">
        <f>B270</f>
        <v>0.01</v>
      </c>
      <c r="D271" s="302">
        <v>0</v>
      </c>
      <c r="E271" s="302">
        <v>0</v>
      </c>
      <c r="F271" s="81">
        <v>0</v>
      </c>
      <c r="G271" s="81">
        <v>0.4</v>
      </c>
    </row>
    <row r="272" ht="15.75" spans="1:7">
      <c r="A272" s="537" t="s">
        <v>174</v>
      </c>
      <c r="B272" s="301">
        <v>0.01</v>
      </c>
      <c r="C272" s="79">
        <f t="shared" ref="C272:C320" si="4">B271</f>
        <v>0.01</v>
      </c>
      <c r="D272" s="302">
        <v>0</v>
      </c>
      <c r="E272" s="302">
        <v>0</v>
      </c>
      <c r="F272" s="81">
        <v>0</v>
      </c>
      <c r="G272" s="81">
        <v>0.4</v>
      </c>
    </row>
    <row r="273" ht="15.75" spans="1:7">
      <c r="A273" s="537" t="s">
        <v>175</v>
      </c>
      <c r="B273" s="301">
        <v>0.02</v>
      </c>
      <c r="C273" s="79">
        <f t="shared" si="4"/>
        <v>0.01</v>
      </c>
      <c r="D273" s="302">
        <v>0</v>
      </c>
      <c r="E273" s="302">
        <v>0</v>
      </c>
      <c r="F273" s="81">
        <v>0</v>
      </c>
      <c r="G273" s="81">
        <v>0.4</v>
      </c>
    </row>
    <row r="274" ht="15.75" spans="1:7">
      <c r="A274" s="537" t="s">
        <v>176</v>
      </c>
      <c r="B274" s="301">
        <v>0.02</v>
      </c>
      <c r="C274" s="79">
        <f t="shared" si="4"/>
        <v>0.02</v>
      </c>
      <c r="D274" s="302">
        <v>0</v>
      </c>
      <c r="E274" s="302">
        <v>0</v>
      </c>
      <c r="F274" s="81">
        <v>0</v>
      </c>
      <c r="G274" s="81">
        <v>0.4</v>
      </c>
    </row>
    <row r="275" ht="15.75" spans="1:7">
      <c r="A275" s="537" t="s">
        <v>177</v>
      </c>
      <c r="B275" s="301">
        <v>0.02</v>
      </c>
      <c r="C275" s="79">
        <f t="shared" si="4"/>
        <v>0.02</v>
      </c>
      <c r="D275" s="302">
        <v>0</v>
      </c>
      <c r="E275" s="302">
        <v>0</v>
      </c>
      <c r="F275" s="81">
        <v>0</v>
      </c>
      <c r="G275" s="81">
        <v>0.4</v>
      </c>
    </row>
    <row r="276" ht="15.75" spans="1:7">
      <c r="A276" s="537" t="s">
        <v>178</v>
      </c>
      <c r="B276" s="301">
        <v>0.03</v>
      </c>
      <c r="C276" s="79">
        <f t="shared" si="4"/>
        <v>0.02</v>
      </c>
      <c r="D276" s="302">
        <v>0</v>
      </c>
      <c r="E276" s="302">
        <v>0</v>
      </c>
      <c r="F276" s="81">
        <v>0</v>
      </c>
      <c r="G276" s="81">
        <v>0.4</v>
      </c>
    </row>
    <row r="277" ht="15.75" spans="1:7">
      <c r="A277" s="283" t="s">
        <v>179</v>
      </c>
      <c r="B277" s="301">
        <v>0.03</v>
      </c>
      <c r="C277" s="79">
        <f t="shared" si="4"/>
        <v>0.03</v>
      </c>
      <c r="D277" s="302">
        <v>0</v>
      </c>
      <c r="E277" s="302">
        <v>0</v>
      </c>
      <c r="F277" s="81">
        <v>0</v>
      </c>
      <c r="G277" s="81">
        <v>0.4</v>
      </c>
    </row>
    <row r="278" ht="15.75" spans="1:7">
      <c r="A278" s="283" t="s">
        <v>180</v>
      </c>
      <c r="B278" s="301">
        <v>0.03</v>
      </c>
      <c r="C278" s="79">
        <f t="shared" si="4"/>
        <v>0.03</v>
      </c>
      <c r="D278" s="302">
        <v>0</v>
      </c>
      <c r="E278" s="302">
        <v>0</v>
      </c>
      <c r="F278" s="81">
        <v>0</v>
      </c>
      <c r="G278" s="81">
        <v>0.4</v>
      </c>
    </row>
    <row r="279" ht="15.75" spans="1:7">
      <c r="A279" s="283" t="s">
        <v>181</v>
      </c>
      <c r="B279" s="301">
        <v>0.04</v>
      </c>
      <c r="C279" s="79">
        <f t="shared" si="4"/>
        <v>0.03</v>
      </c>
      <c r="D279" s="302">
        <v>0</v>
      </c>
      <c r="E279" s="302">
        <v>0</v>
      </c>
      <c r="F279" s="81">
        <v>0</v>
      </c>
      <c r="G279" s="81">
        <v>0.4</v>
      </c>
    </row>
    <row r="280" ht="15.75" spans="1:7">
      <c r="A280" s="283" t="s">
        <v>182</v>
      </c>
      <c r="B280" s="301">
        <v>0.04</v>
      </c>
      <c r="C280" s="79">
        <f t="shared" si="4"/>
        <v>0.04</v>
      </c>
      <c r="D280" s="302">
        <v>0</v>
      </c>
      <c r="E280" s="302">
        <v>0</v>
      </c>
      <c r="F280" s="81">
        <v>0</v>
      </c>
      <c r="G280" s="81">
        <v>0.4</v>
      </c>
    </row>
    <row r="281" ht="15.75" spans="1:7">
      <c r="A281" s="283" t="s">
        <v>183</v>
      </c>
      <c r="B281" s="301">
        <v>0.05</v>
      </c>
      <c r="C281" s="79">
        <f t="shared" si="4"/>
        <v>0.04</v>
      </c>
      <c r="D281" s="302">
        <v>0</v>
      </c>
      <c r="E281" s="302">
        <v>0</v>
      </c>
      <c r="F281" s="81">
        <v>0</v>
      </c>
      <c r="G281" s="81">
        <v>0.4</v>
      </c>
    </row>
    <row r="282" ht="15.75" spans="1:7">
      <c r="A282" s="283" t="s">
        <v>184</v>
      </c>
      <c r="B282" s="301">
        <v>0.06</v>
      </c>
      <c r="C282" s="79">
        <f t="shared" si="4"/>
        <v>0.05</v>
      </c>
      <c r="D282" s="302">
        <v>0</v>
      </c>
      <c r="E282" s="302">
        <v>0</v>
      </c>
      <c r="F282" s="81">
        <v>0</v>
      </c>
      <c r="G282" s="81">
        <v>0.4</v>
      </c>
    </row>
    <row r="283" ht="15.75" spans="1:7">
      <c r="A283" s="283" t="s">
        <v>185</v>
      </c>
      <c r="B283" s="301">
        <v>0.07</v>
      </c>
      <c r="C283" s="79">
        <f t="shared" si="4"/>
        <v>0.06</v>
      </c>
      <c r="D283" s="302">
        <v>0</v>
      </c>
      <c r="E283" s="302">
        <v>0</v>
      </c>
      <c r="F283" s="81">
        <v>0</v>
      </c>
      <c r="G283" s="81">
        <v>0.4</v>
      </c>
    </row>
    <row r="284" ht="15.75" spans="1:7">
      <c r="A284" s="283" t="s">
        <v>186</v>
      </c>
      <c r="B284" s="301">
        <v>0.08</v>
      </c>
      <c r="C284" s="79">
        <f t="shared" si="4"/>
        <v>0.07</v>
      </c>
      <c r="D284" s="302">
        <v>0</v>
      </c>
      <c r="E284" s="302">
        <v>0</v>
      </c>
      <c r="F284" s="81">
        <v>0</v>
      </c>
      <c r="G284" s="81">
        <v>0.4</v>
      </c>
    </row>
    <row r="285" ht="15.75" spans="1:7">
      <c r="A285" s="283" t="s">
        <v>187</v>
      </c>
      <c r="B285" s="301">
        <v>0.09</v>
      </c>
      <c r="C285" s="79">
        <f t="shared" si="4"/>
        <v>0.08</v>
      </c>
      <c r="D285" s="302">
        <v>0</v>
      </c>
      <c r="E285" s="302">
        <v>0</v>
      </c>
      <c r="F285" s="81">
        <v>0</v>
      </c>
      <c r="G285" s="81">
        <v>0.4</v>
      </c>
    </row>
    <row r="286" ht="15.75" spans="1:7">
      <c r="A286" s="283" t="s">
        <v>188</v>
      </c>
      <c r="B286" s="301">
        <v>0.1</v>
      </c>
      <c r="C286" s="79">
        <f t="shared" si="4"/>
        <v>0.09</v>
      </c>
      <c r="D286" s="302">
        <v>0</v>
      </c>
      <c r="E286" s="302">
        <v>0</v>
      </c>
      <c r="F286" s="81">
        <v>0</v>
      </c>
      <c r="G286" s="81">
        <v>0.4</v>
      </c>
    </row>
    <row r="287" ht="15.75" spans="1:7">
      <c r="A287" s="283" t="s">
        <v>189</v>
      </c>
      <c r="B287" s="301">
        <v>0.11</v>
      </c>
      <c r="C287" s="79">
        <f t="shared" si="4"/>
        <v>0.1</v>
      </c>
      <c r="D287" s="302">
        <v>0</v>
      </c>
      <c r="E287" s="302">
        <v>0</v>
      </c>
      <c r="F287" s="81">
        <v>0</v>
      </c>
      <c r="G287" s="81">
        <v>0.4</v>
      </c>
    </row>
    <row r="288" ht="15.75" spans="1:7">
      <c r="A288" s="283" t="s">
        <v>190</v>
      </c>
      <c r="B288" s="301">
        <v>0.13</v>
      </c>
      <c r="C288" s="79">
        <f t="shared" si="4"/>
        <v>0.11</v>
      </c>
      <c r="D288" s="302">
        <v>0</v>
      </c>
      <c r="E288" s="302">
        <v>0</v>
      </c>
      <c r="F288" s="81">
        <v>0</v>
      </c>
      <c r="G288" s="81">
        <v>0.4</v>
      </c>
    </row>
    <row r="289" ht="15.75" spans="1:7">
      <c r="A289" s="283" t="s">
        <v>191</v>
      </c>
      <c r="B289" s="301">
        <v>0.15</v>
      </c>
      <c r="C289" s="79">
        <f t="shared" si="4"/>
        <v>0.13</v>
      </c>
      <c r="D289" s="302">
        <v>0</v>
      </c>
      <c r="E289" s="302">
        <v>0</v>
      </c>
      <c r="F289" s="81">
        <v>0</v>
      </c>
      <c r="G289" s="81">
        <v>0.4</v>
      </c>
    </row>
    <row r="290" ht="15.75" spans="1:7">
      <c r="A290" s="283" t="s">
        <v>192</v>
      </c>
      <c r="B290" s="301">
        <v>0.17</v>
      </c>
      <c r="C290" s="79">
        <f t="shared" si="4"/>
        <v>0.15</v>
      </c>
      <c r="D290" s="302">
        <v>0</v>
      </c>
      <c r="E290" s="302">
        <v>0</v>
      </c>
      <c r="F290" s="81">
        <v>0.00505882352941176</v>
      </c>
      <c r="G290" s="81">
        <v>0.4</v>
      </c>
    </row>
    <row r="291" ht="15.75" spans="1:7">
      <c r="A291" s="283" t="s">
        <v>193</v>
      </c>
      <c r="B291" s="301">
        <v>0.18</v>
      </c>
      <c r="C291" s="79">
        <f t="shared" si="4"/>
        <v>0.17</v>
      </c>
      <c r="D291" s="302">
        <v>0</v>
      </c>
      <c r="E291" s="302">
        <v>0</v>
      </c>
      <c r="F291" s="81">
        <v>0.0103333333333333</v>
      </c>
      <c r="G291" s="81">
        <v>0.4</v>
      </c>
    </row>
    <row r="292" ht="15.75" spans="1:7">
      <c r="A292" s="283" t="s">
        <v>194</v>
      </c>
      <c r="B292" s="301">
        <v>0.19</v>
      </c>
      <c r="C292" s="79">
        <f t="shared" si="4"/>
        <v>0.18</v>
      </c>
      <c r="D292" s="302">
        <v>0</v>
      </c>
      <c r="E292" s="302">
        <v>0</v>
      </c>
      <c r="F292" s="81">
        <v>0.0150526315789474</v>
      </c>
      <c r="G292" s="81">
        <v>0.4</v>
      </c>
    </row>
    <row r="293" ht="15.75" spans="1:7">
      <c r="A293" s="283" t="s">
        <v>195</v>
      </c>
      <c r="B293" s="301">
        <v>0.22</v>
      </c>
      <c r="C293" s="79">
        <f t="shared" si="4"/>
        <v>0.19</v>
      </c>
      <c r="D293" s="302">
        <v>0.0631818181818182</v>
      </c>
      <c r="E293" s="302"/>
      <c r="F293" s="81">
        <v>0.0266363636363636</v>
      </c>
      <c r="G293" s="81">
        <v>0.4</v>
      </c>
    </row>
    <row r="294" ht="15.75" spans="1:7">
      <c r="A294" s="283" t="s">
        <v>196</v>
      </c>
      <c r="B294" s="301">
        <v>0.23</v>
      </c>
      <c r="C294" s="79">
        <f t="shared" si="4"/>
        <v>0.22</v>
      </c>
      <c r="D294" s="302">
        <v>0.103913043478261</v>
      </c>
      <c r="E294" s="302">
        <v>0.0103913043478261</v>
      </c>
      <c r="F294" s="81">
        <v>0.0298260869565217</v>
      </c>
      <c r="G294" s="81">
        <v>0.4</v>
      </c>
    </row>
    <row r="295" ht="15.75" spans="1:7">
      <c r="A295" s="283" t="s">
        <v>197</v>
      </c>
      <c r="B295" s="301">
        <v>0.24</v>
      </c>
      <c r="C295" s="79">
        <f t="shared" si="4"/>
        <v>0.23</v>
      </c>
      <c r="D295" s="302">
        <v>0.14125</v>
      </c>
      <c r="E295" s="302">
        <v>0.014125</v>
      </c>
      <c r="F295" s="81">
        <v>0.03275</v>
      </c>
      <c r="G295" s="81">
        <v>0.4</v>
      </c>
    </row>
    <row r="296" ht="15.75" spans="1:7">
      <c r="A296" s="283" t="s">
        <v>198</v>
      </c>
      <c r="B296" s="301">
        <v>0.26</v>
      </c>
      <c r="C296" s="79">
        <f t="shared" si="4"/>
        <v>0.24</v>
      </c>
      <c r="D296" s="302">
        <v>0.207307692307692</v>
      </c>
      <c r="E296" s="302">
        <v>0.0207307692307692</v>
      </c>
      <c r="F296" s="81">
        <v>0.0379230769230769</v>
      </c>
      <c r="G296" s="81">
        <v>0.4</v>
      </c>
    </row>
    <row r="297" ht="15.75" spans="1:7">
      <c r="A297" s="283" t="s">
        <v>199</v>
      </c>
      <c r="B297" s="301">
        <v>0.28</v>
      </c>
      <c r="C297" s="79">
        <f t="shared" si="4"/>
        <v>0.26</v>
      </c>
      <c r="D297" s="302">
        <v>0.263928571428571</v>
      </c>
      <c r="E297" s="302">
        <v>0.0263928571428571</v>
      </c>
      <c r="F297" s="81">
        <v>0.0541428571428572</v>
      </c>
      <c r="G297" s="81">
        <v>0.4</v>
      </c>
    </row>
    <row r="298" ht="15.75" spans="1:7">
      <c r="A298" s="283" t="s">
        <v>200</v>
      </c>
      <c r="B298" s="301">
        <v>0.3</v>
      </c>
      <c r="C298" s="79">
        <f t="shared" si="4"/>
        <v>0.28</v>
      </c>
      <c r="D298" s="302">
        <v>0.313</v>
      </c>
      <c r="E298" s="302">
        <v>0.0313</v>
      </c>
      <c r="F298" s="81">
        <v>0.0772</v>
      </c>
      <c r="G298" s="81">
        <v>0.4</v>
      </c>
    </row>
    <row r="299" ht="15.75" spans="1:7">
      <c r="A299" s="283" t="s">
        <v>201</v>
      </c>
      <c r="B299" s="301">
        <v>0.32</v>
      </c>
      <c r="C299" s="79">
        <f t="shared" si="4"/>
        <v>0.3</v>
      </c>
      <c r="D299" s="302">
        <v>0.3559375</v>
      </c>
      <c r="E299" s="302">
        <v>0.03559375</v>
      </c>
      <c r="F299" s="81">
        <v>0.097375</v>
      </c>
      <c r="G299" s="81">
        <v>0.4</v>
      </c>
    </row>
    <row r="300" ht="15.75" spans="1:7">
      <c r="A300" s="283" t="s">
        <v>202</v>
      </c>
      <c r="B300" s="301">
        <v>0.34</v>
      </c>
      <c r="C300" s="79">
        <f t="shared" si="4"/>
        <v>0.32</v>
      </c>
      <c r="D300" s="302">
        <v>0.393823529411765</v>
      </c>
      <c r="E300" s="302">
        <v>0.0393823529411765</v>
      </c>
      <c r="F300" s="81">
        <v>0.115176470588235</v>
      </c>
      <c r="G300" s="81">
        <v>0.4</v>
      </c>
    </row>
    <row r="301" ht="15.75" spans="1:7">
      <c r="A301" s="283" t="s">
        <v>203</v>
      </c>
      <c r="B301" s="301">
        <v>0.36</v>
      </c>
      <c r="C301" s="79">
        <f t="shared" si="4"/>
        <v>0.34</v>
      </c>
      <c r="D301" s="302">
        <v>0.4275</v>
      </c>
      <c r="E301" s="302">
        <v>0.0565</v>
      </c>
      <c r="F301" s="81">
        <v>0.131</v>
      </c>
      <c r="G301" s="81">
        <v>0.4</v>
      </c>
    </row>
    <row r="302" ht="15.75" spans="1:7">
      <c r="A302" s="283" t="s">
        <v>204</v>
      </c>
      <c r="B302" s="301">
        <v>0.38</v>
      </c>
      <c r="C302" s="79">
        <f t="shared" si="4"/>
        <v>0.36</v>
      </c>
      <c r="D302" s="302">
        <v>0.457631578947368</v>
      </c>
      <c r="E302" s="302">
        <v>0.074578947368421</v>
      </c>
      <c r="F302" s="81">
        <v>0.145157894736842</v>
      </c>
      <c r="G302" s="81">
        <v>0.4</v>
      </c>
    </row>
    <row r="303" ht="15.75" spans="1:7">
      <c r="A303" s="283" t="s">
        <v>205</v>
      </c>
      <c r="B303" s="301">
        <v>0.42</v>
      </c>
      <c r="C303" s="79">
        <f t="shared" si="4"/>
        <v>0.38</v>
      </c>
      <c r="D303" s="302">
        <v>0.509285714285714</v>
      </c>
      <c r="E303" s="302">
        <v>0.105571428571429</v>
      </c>
      <c r="F303" s="81">
        <v>0.169428571428571</v>
      </c>
      <c r="G303" s="81">
        <v>0.4</v>
      </c>
    </row>
    <row r="304" ht="15.75" spans="1:7">
      <c r="A304" s="283" t="s">
        <v>206</v>
      </c>
      <c r="B304" s="301">
        <v>0.45</v>
      </c>
      <c r="C304" s="79">
        <f t="shared" si="4"/>
        <v>0.42</v>
      </c>
      <c r="D304" s="302">
        <v>0.542</v>
      </c>
      <c r="E304" s="302">
        <v>0.1252</v>
      </c>
      <c r="F304" s="81">
        <v>0.1848</v>
      </c>
      <c r="G304" s="81">
        <v>0.4</v>
      </c>
    </row>
    <row r="305" ht="15.75" spans="1:7">
      <c r="A305" s="283" t="s">
        <v>207</v>
      </c>
      <c r="B305" s="301">
        <v>0.48</v>
      </c>
      <c r="C305" s="79">
        <f t="shared" si="4"/>
        <v>0.45</v>
      </c>
      <c r="D305" s="302">
        <v>0.570625</v>
      </c>
      <c r="E305" s="302">
        <v>0.142375</v>
      </c>
      <c r="F305" s="81">
        <v>0.19825</v>
      </c>
      <c r="G305" s="81">
        <v>0.4</v>
      </c>
    </row>
    <row r="306" ht="15.75" spans="1:7">
      <c r="A306" s="283" t="s">
        <v>208</v>
      </c>
      <c r="B306" s="301">
        <v>0.51</v>
      </c>
      <c r="C306" s="79">
        <f t="shared" si="4"/>
        <v>0.48</v>
      </c>
      <c r="D306" s="302">
        <v>0.595882352941176</v>
      </c>
      <c r="E306" s="302">
        <v>0.157529411764706</v>
      </c>
      <c r="F306" s="81">
        <v>0.210117647058824</v>
      </c>
      <c r="G306" s="81">
        <v>0.4</v>
      </c>
    </row>
    <row r="307" ht="15.75" spans="1:7">
      <c r="A307" s="283" t="s">
        <v>209</v>
      </c>
      <c r="B307" s="301">
        <v>0.56</v>
      </c>
      <c r="C307" s="79">
        <f t="shared" si="4"/>
        <v>0.51</v>
      </c>
      <c r="D307" s="302">
        <v>0.631964285714286</v>
      </c>
      <c r="E307" s="302">
        <v>0.179178571428571</v>
      </c>
      <c r="F307" s="81">
        <v>0.227071428571429</v>
      </c>
      <c r="G307" s="81">
        <v>0.4</v>
      </c>
    </row>
    <row r="308" ht="15.75" spans="1:7">
      <c r="A308" s="283" t="s">
        <v>210</v>
      </c>
      <c r="B308" s="301">
        <v>0.61</v>
      </c>
      <c r="C308" s="79">
        <f t="shared" si="4"/>
        <v>0.56</v>
      </c>
      <c r="D308" s="302">
        <v>0.662131147540984</v>
      </c>
      <c r="E308" s="302">
        <v>0.19727868852459</v>
      </c>
      <c r="F308" s="81">
        <v>0.241245901639344</v>
      </c>
      <c r="G308" s="81">
        <v>0.4</v>
      </c>
    </row>
    <row r="309" ht="15.75" spans="1:7">
      <c r="A309" s="283" t="s">
        <v>211</v>
      </c>
      <c r="B309" s="301">
        <v>0.69</v>
      </c>
      <c r="C309" s="79">
        <f t="shared" si="4"/>
        <v>0.61</v>
      </c>
      <c r="D309" s="302">
        <v>0.701304347826087</v>
      </c>
      <c r="E309" s="302">
        <v>0.220782608695652</v>
      </c>
      <c r="F309" s="81">
        <v>0.259652173913043</v>
      </c>
      <c r="G309" s="81">
        <v>0.4</v>
      </c>
    </row>
    <row r="310" ht="15.75" spans="1:7">
      <c r="A310" s="283" t="s">
        <v>212</v>
      </c>
      <c r="B310" s="301">
        <v>0.79</v>
      </c>
      <c r="C310" s="79">
        <f t="shared" si="4"/>
        <v>0.69</v>
      </c>
      <c r="D310" s="302">
        <v>0.739113924050633</v>
      </c>
      <c r="E310" s="302">
        <v>0.24346835443038</v>
      </c>
      <c r="F310" s="81">
        <v>0.277417721518987</v>
      </c>
      <c r="G310" s="81">
        <v>0.4</v>
      </c>
    </row>
    <row r="311" ht="15.75" spans="1:7">
      <c r="A311" s="283" t="s">
        <v>213</v>
      </c>
      <c r="B311" s="301">
        <v>0.92</v>
      </c>
      <c r="C311" s="79">
        <f t="shared" si="4"/>
        <v>0.79</v>
      </c>
      <c r="D311" s="302">
        <v>0.775978260869565</v>
      </c>
      <c r="E311" s="302">
        <v>0.265586956521739</v>
      </c>
      <c r="F311" s="81">
        <v>0.294739130434783</v>
      </c>
      <c r="G311" s="81">
        <v>0.4</v>
      </c>
    </row>
    <row r="312" ht="15.75" spans="1:7">
      <c r="A312" s="283" t="s">
        <v>214</v>
      </c>
      <c r="B312" s="301">
        <v>1.03</v>
      </c>
      <c r="C312" s="79">
        <f t="shared" si="4"/>
        <v>0.92</v>
      </c>
      <c r="D312" s="302">
        <v>0.799902912621359</v>
      </c>
      <c r="E312" s="302">
        <v>0.279941747572816</v>
      </c>
      <c r="F312" s="81">
        <v>0.305980582524272</v>
      </c>
      <c r="G312" s="81">
        <v>0.4</v>
      </c>
    </row>
    <row r="313" ht="15.75" spans="1:7">
      <c r="A313" s="283" t="s">
        <v>215</v>
      </c>
      <c r="B313" s="301">
        <v>1.18</v>
      </c>
      <c r="C313" s="79">
        <f t="shared" si="4"/>
        <v>1.03</v>
      </c>
      <c r="D313" s="302">
        <v>0.825338983050848</v>
      </c>
      <c r="E313" s="302">
        <v>0.295203389830508</v>
      </c>
      <c r="F313" s="81">
        <v>0.317932203389831</v>
      </c>
      <c r="G313" s="81">
        <v>0.4</v>
      </c>
    </row>
    <row r="314" ht="15.75" spans="1:7">
      <c r="A314" s="283" t="s">
        <v>216</v>
      </c>
      <c r="B314" s="301">
        <v>1.6</v>
      </c>
      <c r="C314" s="79">
        <f t="shared" si="4"/>
        <v>1.18</v>
      </c>
      <c r="D314" s="302">
        <v>0.8711875</v>
      </c>
      <c r="E314" s="302">
        <v>0.3227125</v>
      </c>
      <c r="F314" s="81">
        <v>0.339475</v>
      </c>
      <c r="G314" s="81">
        <v>0.4</v>
      </c>
    </row>
    <row r="315" ht="15.75" spans="1:7">
      <c r="A315" s="283" t="s">
        <v>217</v>
      </c>
      <c r="B315" s="301">
        <v>2.32</v>
      </c>
      <c r="C315" s="79">
        <f t="shared" si="4"/>
        <v>1.6</v>
      </c>
      <c r="D315" s="302">
        <v>0.911163793103448</v>
      </c>
      <c r="E315" s="302">
        <v>0.346698275862069</v>
      </c>
      <c r="F315" s="81">
        <v>0.358258620689655</v>
      </c>
      <c r="G315" s="81">
        <v>0.4</v>
      </c>
    </row>
    <row r="316" ht="15.75" spans="1:7">
      <c r="A316" s="283" t="s">
        <v>218</v>
      </c>
      <c r="B316" s="301">
        <v>2.89</v>
      </c>
      <c r="C316" s="79">
        <f t="shared" si="4"/>
        <v>2.32</v>
      </c>
      <c r="D316" s="302">
        <v>0.928685121107266</v>
      </c>
      <c r="E316" s="302">
        <v>0.35721107266436</v>
      </c>
      <c r="F316" s="81">
        <v>0.366491349480969</v>
      </c>
      <c r="G316" s="81">
        <v>0.4</v>
      </c>
    </row>
    <row r="317" ht="15.75" spans="1:7">
      <c r="A317" s="283" t="s">
        <v>219</v>
      </c>
      <c r="B317" s="301">
        <v>3.83</v>
      </c>
      <c r="C317" s="79">
        <f t="shared" si="4"/>
        <v>2.89</v>
      </c>
      <c r="D317" s="302">
        <v>0.946187989556136</v>
      </c>
      <c r="E317" s="302">
        <v>0.367712793733681</v>
      </c>
      <c r="F317" s="81">
        <v>0.374715404699739</v>
      </c>
      <c r="G317" s="81">
        <v>0.4</v>
      </c>
    </row>
    <row r="318" ht="15.75" spans="1:7">
      <c r="A318" s="283" t="s">
        <v>220</v>
      </c>
      <c r="B318" s="301">
        <v>7.23</v>
      </c>
      <c r="C318" s="79">
        <f t="shared" si="4"/>
        <v>3.83</v>
      </c>
      <c r="D318" s="302">
        <v>0.97149377593361</v>
      </c>
      <c r="E318" s="302">
        <v>0.382896265560166</v>
      </c>
      <c r="F318" s="81">
        <v>0.386605809128631</v>
      </c>
      <c r="G318" s="81">
        <v>0.4</v>
      </c>
    </row>
    <row r="319" ht="15.75" spans="1:7">
      <c r="A319" s="283" t="s">
        <v>221</v>
      </c>
      <c r="B319" s="301">
        <v>21.65</v>
      </c>
      <c r="C319" s="79">
        <f t="shared" si="4"/>
        <v>7.23</v>
      </c>
      <c r="D319" s="302">
        <v>0.990480369515012</v>
      </c>
      <c r="E319" s="302">
        <v>0.394288221709007</v>
      </c>
      <c r="F319" s="81">
        <v>0.395527020785219</v>
      </c>
      <c r="G319" s="81">
        <v>0.4</v>
      </c>
    </row>
    <row r="320" ht="15.75" spans="1:7">
      <c r="A320" s="257" t="s">
        <v>221</v>
      </c>
      <c r="B320" s="257" t="s">
        <v>378</v>
      </c>
      <c r="C320" s="79">
        <f t="shared" si="4"/>
        <v>21.65</v>
      </c>
      <c r="D320" s="260"/>
      <c r="E320" s="72"/>
      <c r="F320" s="73"/>
      <c r="G320" s="84"/>
    </row>
    <row r="321" ht="15.75" spans="1:7">
      <c r="A321" s="257"/>
      <c r="B321" s="257">
        <v>36.8</v>
      </c>
      <c r="D321" s="116"/>
      <c r="E321" s="261">
        <v>0.0939789689943781</v>
      </c>
      <c r="F321" s="262">
        <v>0.113706822073778</v>
      </c>
      <c r="G321" s="262">
        <v>0.4</v>
      </c>
    </row>
    <row r="322" ht="48.75" spans="1:7">
      <c r="A322" s="256" t="s">
        <v>233</v>
      </c>
      <c r="B322" s="257"/>
      <c r="D322" s="116"/>
      <c r="E322" s="263">
        <v>0.3435</v>
      </c>
      <c r="F322" s="264">
        <v>0.269</v>
      </c>
      <c r="G322" s="265">
        <v>0</v>
      </c>
    </row>
    <row r="323" ht="48.75" spans="1:7">
      <c r="A323" s="256" t="s">
        <v>224</v>
      </c>
      <c r="B323" s="116">
        <v>2.39</v>
      </c>
      <c r="D323" s="72"/>
      <c r="E323" s="72"/>
      <c r="F323" s="73"/>
      <c r="G323" s="73"/>
    </row>
    <row r="324" ht="84.75" spans="1:7">
      <c r="A324" s="266" t="s">
        <v>225</v>
      </c>
      <c r="B324" s="78">
        <v>1.434</v>
      </c>
      <c r="D324" s="72"/>
      <c r="E324" s="72">
        <v>0.2061</v>
      </c>
      <c r="F324" s="73">
        <v>0.1614</v>
      </c>
      <c r="G324" s="73">
        <v>0</v>
      </c>
    </row>
    <row r="327" spans="1:2">
      <c r="A327" s="531" t="s">
        <v>226</v>
      </c>
      <c r="B327" s="95">
        <f>AVERAGE(B275:B314)</f>
        <v>0.3435</v>
      </c>
    </row>
    <row r="328" spans="1:2">
      <c r="A328" s="531" t="s">
        <v>227</v>
      </c>
      <c r="B328" s="96">
        <f>AVERAGE(B280:B309)</f>
        <v>0.269</v>
      </c>
    </row>
    <row r="329" spans="1:2">
      <c r="A329" s="531" t="s">
        <v>228</v>
      </c>
      <c r="B329" s="96">
        <f>AVERAGE(B286:B304)</f>
        <v>0.254210526315789</v>
      </c>
    </row>
    <row r="332" ht="15.75"/>
    <row r="333" customHeight="1" spans="1:7">
      <c r="A333" s="252" t="s">
        <v>165</v>
      </c>
      <c r="B333" s="268" t="s">
        <v>37</v>
      </c>
      <c r="C333" s="269"/>
      <c r="D333" s="270"/>
      <c r="E333" s="70">
        <f>(1-E388)^(1/3)-1</f>
        <v>0</v>
      </c>
      <c r="F333" s="70">
        <f>(1-F388)^(1/3)-1</f>
        <v>0</v>
      </c>
      <c r="G333" s="70"/>
    </row>
    <row r="334" ht="72.75" spans="1:7">
      <c r="A334" s="253"/>
      <c r="B334" s="254" t="s">
        <v>167</v>
      </c>
      <c r="D334" s="83" t="s">
        <v>168</v>
      </c>
      <c r="E334" s="83" t="s">
        <v>169</v>
      </c>
      <c r="F334" s="84" t="s">
        <v>169</v>
      </c>
      <c r="G334" s="84"/>
    </row>
    <row r="335" ht="24.75" spans="1:7">
      <c r="A335" s="254"/>
      <c r="B335" s="257" t="s">
        <v>365</v>
      </c>
      <c r="D335" s="271" t="s">
        <v>171</v>
      </c>
      <c r="E335" s="271" t="s">
        <v>171</v>
      </c>
      <c r="F335" s="271" t="s">
        <v>171</v>
      </c>
      <c r="G335" s="271"/>
    </row>
    <row r="336" ht="15.75" spans="1:7">
      <c r="A336" s="75">
        <v>1</v>
      </c>
      <c r="B336" s="76">
        <v>2</v>
      </c>
      <c r="C336" s="131"/>
      <c r="D336" s="76">
        <v>3</v>
      </c>
      <c r="E336" s="76">
        <v>4</v>
      </c>
      <c r="F336" s="77">
        <v>5</v>
      </c>
      <c r="G336" s="77"/>
    </row>
    <row r="337" ht="15.75" spans="1:7">
      <c r="A337" s="533" t="s">
        <v>172</v>
      </c>
      <c r="B337" s="272"/>
      <c r="C337">
        <v>0</v>
      </c>
      <c r="D337" s="80">
        <f t="shared" ref="D337:D368" si="5">IF(B337=0,0,IF(B337&lt;=E$391,0,B337-E$391)/B337)</f>
        <v>0</v>
      </c>
      <c r="E337" s="80"/>
      <c r="F337" s="81"/>
      <c r="G337" s="81"/>
    </row>
    <row r="338" ht="15.75" spans="1:7">
      <c r="A338" s="533" t="s">
        <v>173</v>
      </c>
      <c r="B338" s="74"/>
      <c r="C338" s="79">
        <f>B337</f>
        <v>0</v>
      </c>
      <c r="D338" s="80">
        <f t="shared" si="5"/>
        <v>0</v>
      </c>
      <c r="E338" s="80"/>
      <c r="F338" s="81"/>
      <c r="G338" s="81"/>
    </row>
    <row r="339" ht="15.75" spans="1:7">
      <c r="A339" s="533" t="s">
        <v>174</v>
      </c>
      <c r="B339" s="74"/>
      <c r="C339" s="79">
        <f t="shared" ref="C339:C387" si="6">B338</f>
        <v>0</v>
      </c>
      <c r="D339" s="80">
        <f t="shared" si="5"/>
        <v>0</v>
      </c>
      <c r="E339" s="80"/>
      <c r="F339" s="81"/>
      <c r="G339" s="81"/>
    </row>
    <row r="340" ht="15.75" spans="1:7">
      <c r="A340" s="533" t="s">
        <v>175</v>
      </c>
      <c r="B340" s="74"/>
      <c r="C340" s="79">
        <f t="shared" si="6"/>
        <v>0</v>
      </c>
      <c r="D340" s="80">
        <f t="shared" si="5"/>
        <v>0</v>
      </c>
      <c r="E340" s="80"/>
      <c r="F340" s="81"/>
      <c r="G340" s="81"/>
    </row>
    <row r="341" ht="15.75" spans="1:7">
      <c r="A341" s="533" t="s">
        <v>176</v>
      </c>
      <c r="B341" s="74"/>
      <c r="C341" s="79">
        <f t="shared" si="6"/>
        <v>0</v>
      </c>
      <c r="D341" s="80">
        <f t="shared" si="5"/>
        <v>0</v>
      </c>
      <c r="E341" s="80"/>
      <c r="F341" s="81"/>
      <c r="G341" s="81"/>
    </row>
    <row r="342" ht="15.75" spans="1:7">
      <c r="A342" s="533" t="s">
        <v>177</v>
      </c>
      <c r="B342" s="74"/>
      <c r="C342" s="79">
        <f t="shared" si="6"/>
        <v>0</v>
      </c>
      <c r="D342" s="80">
        <f t="shared" si="5"/>
        <v>0</v>
      </c>
      <c r="E342" s="80"/>
      <c r="F342" s="81"/>
      <c r="G342" s="81"/>
    </row>
    <row r="343" ht="15.75" spans="1:7">
      <c r="A343" s="533" t="s">
        <v>178</v>
      </c>
      <c r="B343" s="74"/>
      <c r="C343" s="79">
        <f t="shared" si="6"/>
        <v>0</v>
      </c>
      <c r="D343" s="80">
        <f t="shared" si="5"/>
        <v>0</v>
      </c>
      <c r="E343" s="80"/>
      <c r="F343" s="81"/>
      <c r="G343" s="81"/>
    </row>
    <row r="344" ht="15.75" spans="1:7">
      <c r="A344" s="257" t="s">
        <v>179</v>
      </c>
      <c r="B344" s="74"/>
      <c r="C344" s="79">
        <f t="shared" si="6"/>
        <v>0</v>
      </c>
      <c r="D344" s="80">
        <f t="shared" si="5"/>
        <v>0</v>
      </c>
      <c r="E344" s="80"/>
      <c r="F344" s="81"/>
      <c r="G344" s="81"/>
    </row>
    <row r="345" ht="15.75" spans="1:7">
      <c r="A345" s="257" t="s">
        <v>180</v>
      </c>
      <c r="B345" s="74"/>
      <c r="C345" s="79">
        <f t="shared" si="6"/>
        <v>0</v>
      </c>
      <c r="D345" s="80">
        <f t="shared" si="5"/>
        <v>0</v>
      </c>
      <c r="E345" s="80"/>
      <c r="F345" s="81"/>
      <c r="G345" s="81"/>
    </row>
    <row r="346" ht="15.75" spans="1:7">
      <c r="A346" s="257" t="s">
        <v>181</v>
      </c>
      <c r="B346" s="74"/>
      <c r="C346" s="79">
        <f t="shared" si="6"/>
        <v>0</v>
      </c>
      <c r="D346" s="80">
        <f t="shared" si="5"/>
        <v>0</v>
      </c>
      <c r="E346" s="80"/>
      <c r="F346" s="81"/>
      <c r="G346" s="81"/>
    </row>
    <row r="347" ht="15.75" spans="1:7">
      <c r="A347" s="257" t="s">
        <v>182</v>
      </c>
      <c r="B347" s="74"/>
      <c r="C347" s="79">
        <f t="shared" si="6"/>
        <v>0</v>
      </c>
      <c r="D347" s="80">
        <f t="shared" si="5"/>
        <v>0</v>
      </c>
      <c r="E347" s="80"/>
      <c r="F347" s="81"/>
      <c r="G347" s="81"/>
    </row>
    <row r="348" ht="15.75" spans="1:7">
      <c r="A348" s="257" t="s">
        <v>183</v>
      </c>
      <c r="B348" s="74"/>
      <c r="C348" s="79">
        <f t="shared" si="6"/>
        <v>0</v>
      </c>
      <c r="D348" s="80">
        <f t="shared" si="5"/>
        <v>0</v>
      </c>
      <c r="E348" s="80"/>
      <c r="F348" s="81"/>
      <c r="G348" s="81"/>
    </row>
    <row r="349" ht="15.75" spans="1:7">
      <c r="A349" s="257" t="s">
        <v>184</v>
      </c>
      <c r="B349" s="74"/>
      <c r="C349" s="79">
        <f t="shared" si="6"/>
        <v>0</v>
      </c>
      <c r="D349" s="80">
        <f t="shared" si="5"/>
        <v>0</v>
      </c>
      <c r="E349" s="80"/>
      <c r="F349" s="81"/>
      <c r="G349" s="81"/>
    </row>
    <row r="350" ht="15.75" spans="1:7">
      <c r="A350" s="257" t="s">
        <v>185</v>
      </c>
      <c r="B350" s="74"/>
      <c r="C350" s="79">
        <f t="shared" si="6"/>
        <v>0</v>
      </c>
      <c r="D350" s="80">
        <f t="shared" si="5"/>
        <v>0</v>
      </c>
      <c r="E350" s="80"/>
      <c r="F350" s="81"/>
      <c r="G350" s="81"/>
    </row>
    <row r="351" ht="15.75" spans="1:7">
      <c r="A351" s="257" t="s">
        <v>186</v>
      </c>
      <c r="B351" s="74"/>
      <c r="C351" s="79">
        <f t="shared" si="6"/>
        <v>0</v>
      </c>
      <c r="D351" s="80">
        <f t="shared" si="5"/>
        <v>0</v>
      </c>
      <c r="E351" s="80"/>
      <c r="F351" s="81"/>
      <c r="G351" s="81"/>
    </row>
    <row r="352" ht="15.75" spans="1:7">
      <c r="A352" s="257" t="s">
        <v>187</v>
      </c>
      <c r="B352" s="74"/>
      <c r="C352" s="79">
        <f t="shared" si="6"/>
        <v>0</v>
      </c>
      <c r="D352" s="80">
        <f t="shared" si="5"/>
        <v>0</v>
      </c>
      <c r="E352" s="80"/>
      <c r="F352" s="81"/>
      <c r="G352" s="81"/>
    </row>
    <row r="353" ht="15.75" spans="1:7">
      <c r="A353" s="257" t="s">
        <v>188</v>
      </c>
      <c r="B353" s="74"/>
      <c r="C353" s="79">
        <f t="shared" si="6"/>
        <v>0</v>
      </c>
      <c r="D353" s="80">
        <f t="shared" si="5"/>
        <v>0</v>
      </c>
      <c r="E353" s="80"/>
      <c r="F353" s="81"/>
      <c r="G353" s="81"/>
    </row>
    <row r="354" ht="15.75" spans="1:7">
      <c r="A354" s="257" t="s">
        <v>189</v>
      </c>
      <c r="B354" s="74"/>
      <c r="C354" s="79">
        <f t="shared" si="6"/>
        <v>0</v>
      </c>
      <c r="D354" s="80">
        <f t="shared" si="5"/>
        <v>0</v>
      </c>
      <c r="E354" s="80"/>
      <c r="F354" s="81"/>
      <c r="G354" s="81"/>
    </row>
    <row r="355" ht="15.75" spans="1:7">
      <c r="A355" s="257" t="s">
        <v>190</v>
      </c>
      <c r="B355" s="74"/>
      <c r="C355" s="79">
        <f t="shared" si="6"/>
        <v>0</v>
      </c>
      <c r="D355" s="80">
        <f t="shared" si="5"/>
        <v>0</v>
      </c>
      <c r="E355" s="80"/>
      <c r="F355" s="81"/>
      <c r="G355" s="81"/>
    </row>
    <row r="356" ht="15.75" spans="1:7">
      <c r="A356" s="257" t="s">
        <v>191</v>
      </c>
      <c r="B356" s="74"/>
      <c r="C356" s="79">
        <f t="shared" si="6"/>
        <v>0</v>
      </c>
      <c r="D356" s="80">
        <f t="shared" si="5"/>
        <v>0</v>
      </c>
      <c r="E356" s="80"/>
      <c r="F356" s="81"/>
      <c r="G356" s="81"/>
    </row>
    <row r="357" ht="15.75" spans="1:7">
      <c r="A357" s="257" t="s">
        <v>192</v>
      </c>
      <c r="B357" s="74"/>
      <c r="C357" s="79">
        <f t="shared" si="6"/>
        <v>0</v>
      </c>
      <c r="D357" s="80">
        <f t="shared" si="5"/>
        <v>0</v>
      </c>
      <c r="E357" s="80"/>
      <c r="F357" s="81"/>
      <c r="G357" s="81"/>
    </row>
    <row r="358" ht="15.75" spans="1:7">
      <c r="A358" s="257" t="s">
        <v>193</v>
      </c>
      <c r="B358" s="74"/>
      <c r="C358" s="79">
        <f t="shared" si="6"/>
        <v>0</v>
      </c>
      <c r="D358" s="80">
        <f t="shared" si="5"/>
        <v>0</v>
      </c>
      <c r="E358" s="80"/>
      <c r="F358" s="81"/>
      <c r="G358" s="81"/>
    </row>
    <row r="359" ht="15.75" spans="1:7">
      <c r="A359" s="257" t="s">
        <v>194</v>
      </c>
      <c r="B359" s="74"/>
      <c r="C359" s="79">
        <f t="shared" si="6"/>
        <v>0</v>
      </c>
      <c r="D359" s="80">
        <f t="shared" si="5"/>
        <v>0</v>
      </c>
      <c r="E359" s="80"/>
      <c r="F359" s="81"/>
      <c r="G359" s="81"/>
    </row>
    <row r="360" ht="15.75" spans="1:7">
      <c r="A360" s="257" t="s">
        <v>195</v>
      </c>
      <c r="B360" s="74"/>
      <c r="C360" s="79">
        <f t="shared" si="6"/>
        <v>0</v>
      </c>
      <c r="D360" s="80">
        <f t="shared" si="5"/>
        <v>0</v>
      </c>
      <c r="E360" s="80"/>
      <c r="F360" s="81"/>
      <c r="G360" s="81"/>
    </row>
    <row r="361" ht="15.75" spans="1:7">
      <c r="A361" s="257" t="s">
        <v>196</v>
      </c>
      <c r="B361" s="74"/>
      <c r="C361" s="79">
        <f t="shared" si="6"/>
        <v>0</v>
      </c>
      <c r="D361" s="80">
        <f t="shared" si="5"/>
        <v>0</v>
      </c>
      <c r="E361" s="80"/>
      <c r="F361" s="81"/>
      <c r="G361" s="81"/>
    </row>
    <row r="362" ht="15.75" spans="1:7">
      <c r="A362" s="257" t="s">
        <v>197</v>
      </c>
      <c r="B362" s="74"/>
      <c r="C362" s="79">
        <f t="shared" si="6"/>
        <v>0</v>
      </c>
      <c r="D362" s="80">
        <f t="shared" si="5"/>
        <v>0</v>
      </c>
      <c r="E362" s="80"/>
      <c r="F362" s="81"/>
      <c r="G362" s="81"/>
    </row>
    <row r="363" ht="15.75" spans="1:7">
      <c r="A363" s="257" t="s">
        <v>198</v>
      </c>
      <c r="B363" s="74"/>
      <c r="C363" s="79">
        <f t="shared" si="6"/>
        <v>0</v>
      </c>
      <c r="D363" s="80">
        <f t="shared" si="5"/>
        <v>0</v>
      </c>
      <c r="E363" s="80"/>
      <c r="F363" s="81"/>
      <c r="G363" s="81"/>
    </row>
    <row r="364" ht="15.75" spans="1:7">
      <c r="A364" s="257" t="s">
        <v>199</v>
      </c>
      <c r="B364" s="74"/>
      <c r="C364" s="79">
        <f t="shared" si="6"/>
        <v>0</v>
      </c>
      <c r="D364" s="80">
        <f t="shared" si="5"/>
        <v>0</v>
      </c>
      <c r="E364" s="80"/>
      <c r="F364" s="81"/>
      <c r="G364" s="81"/>
    </row>
    <row r="365" ht="15.75" spans="1:7">
      <c r="A365" s="257" t="s">
        <v>200</v>
      </c>
      <c r="B365" s="74"/>
      <c r="C365" s="79">
        <f t="shared" si="6"/>
        <v>0</v>
      </c>
      <c r="D365" s="80">
        <f t="shared" si="5"/>
        <v>0</v>
      </c>
      <c r="E365" s="80"/>
      <c r="F365" s="81"/>
      <c r="G365" s="81"/>
    </row>
    <row r="366" ht="15.75" spans="1:7">
      <c r="A366" s="257" t="s">
        <v>201</v>
      </c>
      <c r="B366" s="74"/>
      <c r="C366" s="79">
        <f t="shared" si="6"/>
        <v>0</v>
      </c>
      <c r="D366" s="80">
        <f t="shared" si="5"/>
        <v>0</v>
      </c>
      <c r="E366" s="80"/>
      <c r="F366" s="81"/>
      <c r="G366" s="81"/>
    </row>
    <row r="367" ht="15.75" spans="1:7">
      <c r="A367" s="257" t="s">
        <v>202</v>
      </c>
      <c r="B367" s="74"/>
      <c r="C367" s="79">
        <f t="shared" si="6"/>
        <v>0</v>
      </c>
      <c r="D367" s="80">
        <f t="shared" si="5"/>
        <v>0</v>
      </c>
      <c r="E367" s="80"/>
      <c r="F367" s="81"/>
      <c r="G367" s="81"/>
    </row>
    <row r="368" ht="15.75" spans="1:7">
      <c r="A368" s="257" t="s">
        <v>203</v>
      </c>
      <c r="B368" s="74"/>
      <c r="C368" s="79">
        <f t="shared" si="6"/>
        <v>0</v>
      </c>
      <c r="D368" s="80">
        <f t="shared" si="5"/>
        <v>0</v>
      </c>
      <c r="E368" s="80"/>
      <c r="F368" s="81"/>
      <c r="G368" s="81"/>
    </row>
    <row r="369" ht="15.75" spans="1:7">
      <c r="A369" s="257" t="s">
        <v>204</v>
      </c>
      <c r="B369" s="74"/>
      <c r="C369" s="79">
        <f t="shared" si="6"/>
        <v>0</v>
      </c>
      <c r="D369" s="80">
        <f t="shared" ref="D369:D386" si="7">IF(B369=0,0,IF(B369&lt;=E$391,0,B369-E$391)/B369)</f>
        <v>0</v>
      </c>
      <c r="E369" s="80"/>
      <c r="F369" s="81"/>
      <c r="G369" s="81"/>
    </row>
    <row r="370" ht="15.75" spans="1:7">
      <c r="A370" s="257" t="s">
        <v>205</v>
      </c>
      <c r="B370" s="74"/>
      <c r="C370" s="79">
        <f t="shared" si="6"/>
        <v>0</v>
      </c>
      <c r="D370" s="80">
        <f t="shared" si="7"/>
        <v>0</v>
      </c>
      <c r="E370" s="80"/>
      <c r="F370" s="81"/>
      <c r="G370" s="81"/>
    </row>
    <row r="371" ht="15.75" spans="1:7">
      <c r="A371" s="257" t="s">
        <v>206</v>
      </c>
      <c r="B371" s="74"/>
      <c r="C371" s="79">
        <f t="shared" si="6"/>
        <v>0</v>
      </c>
      <c r="D371" s="80">
        <f t="shared" si="7"/>
        <v>0</v>
      </c>
      <c r="E371" s="80"/>
      <c r="F371" s="81"/>
      <c r="G371" s="81"/>
    </row>
    <row r="372" ht="15.75" spans="1:7">
      <c r="A372" s="257" t="s">
        <v>207</v>
      </c>
      <c r="B372" s="74"/>
      <c r="C372" s="79">
        <f t="shared" si="6"/>
        <v>0</v>
      </c>
      <c r="D372" s="80">
        <f t="shared" si="7"/>
        <v>0</v>
      </c>
      <c r="E372" s="80"/>
      <c r="F372" s="81"/>
      <c r="G372" s="81"/>
    </row>
    <row r="373" ht="15.75" spans="1:7">
      <c r="A373" s="257" t="s">
        <v>208</v>
      </c>
      <c r="B373" s="74"/>
      <c r="C373" s="79">
        <f t="shared" si="6"/>
        <v>0</v>
      </c>
      <c r="D373" s="80">
        <f t="shared" si="7"/>
        <v>0</v>
      </c>
      <c r="E373" s="80"/>
      <c r="F373" s="81"/>
      <c r="G373" s="81"/>
    </row>
    <row r="374" ht="15.75" spans="1:7">
      <c r="A374" s="257" t="s">
        <v>209</v>
      </c>
      <c r="B374" s="74"/>
      <c r="C374" s="79">
        <f t="shared" si="6"/>
        <v>0</v>
      </c>
      <c r="D374" s="80">
        <f t="shared" si="7"/>
        <v>0</v>
      </c>
      <c r="E374" s="80"/>
      <c r="F374" s="81"/>
      <c r="G374" s="81"/>
    </row>
    <row r="375" ht="15.75" spans="1:7">
      <c r="A375" s="257" t="s">
        <v>210</v>
      </c>
      <c r="B375" s="74"/>
      <c r="C375" s="79">
        <f t="shared" si="6"/>
        <v>0</v>
      </c>
      <c r="D375" s="80">
        <f t="shared" si="7"/>
        <v>0</v>
      </c>
      <c r="E375" s="80"/>
      <c r="F375" s="81"/>
      <c r="G375" s="81"/>
    </row>
    <row r="376" ht="15.75" spans="1:7">
      <c r="A376" s="257" t="s">
        <v>211</v>
      </c>
      <c r="B376" s="74"/>
      <c r="C376" s="79">
        <f t="shared" si="6"/>
        <v>0</v>
      </c>
      <c r="D376" s="80">
        <f t="shared" si="7"/>
        <v>0</v>
      </c>
      <c r="E376" s="80"/>
      <c r="F376" s="81"/>
      <c r="G376" s="81"/>
    </row>
    <row r="377" ht="15.75" spans="1:7">
      <c r="A377" s="257" t="s">
        <v>212</v>
      </c>
      <c r="B377" s="74"/>
      <c r="C377" s="79">
        <f t="shared" si="6"/>
        <v>0</v>
      </c>
      <c r="D377" s="80">
        <f t="shared" si="7"/>
        <v>0</v>
      </c>
      <c r="E377" s="80"/>
      <c r="F377" s="81"/>
      <c r="G377" s="81"/>
    </row>
    <row r="378" ht="15.75" spans="1:7">
      <c r="A378" s="257" t="s">
        <v>213</v>
      </c>
      <c r="B378" s="74"/>
      <c r="C378" s="79">
        <f t="shared" si="6"/>
        <v>0</v>
      </c>
      <c r="D378" s="80">
        <f t="shared" si="7"/>
        <v>0</v>
      </c>
      <c r="E378" s="80"/>
      <c r="F378" s="81"/>
      <c r="G378" s="81"/>
    </row>
    <row r="379" ht="15.75" spans="1:7">
      <c r="A379" s="257" t="s">
        <v>214</v>
      </c>
      <c r="B379" s="74"/>
      <c r="C379" s="79">
        <f t="shared" si="6"/>
        <v>0</v>
      </c>
      <c r="D379" s="80">
        <f t="shared" si="7"/>
        <v>0</v>
      </c>
      <c r="E379" s="80"/>
      <c r="F379" s="81"/>
      <c r="G379" s="81"/>
    </row>
    <row r="380" ht="15.75" spans="1:7">
      <c r="A380" s="257" t="s">
        <v>215</v>
      </c>
      <c r="B380" s="74"/>
      <c r="C380" s="79">
        <f t="shared" si="6"/>
        <v>0</v>
      </c>
      <c r="D380" s="80">
        <f t="shared" si="7"/>
        <v>0</v>
      </c>
      <c r="E380" s="80"/>
      <c r="F380" s="81"/>
      <c r="G380" s="81"/>
    </row>
    <row r="381" ht="15.75" spans="1:7">
      <c r="A381" s="257" t="s">
        <v>216</v>
      </c>
      <c r="B381" s="74"/>
      <c r="C381" s="79">
        <f t="shared" si="6"/>
        <v>0</v>
      </c>
      <c r="D381" s="80">
        <f t="shared" si="7"/>
        <v>0</v>
      </c>
      <c r="E381" s="80"/>
      <c r="F381" s="81"/>
      <c r="G381" s="81"/>
    </row>
    <row r="382" ht="15.75" spans="1:7">
      <c r="A382" s="257" t="s">
        <v>217</v>
      </c>
      <c r="B382" s="74"/>
      <c r="C382" s="79">
        <f t="shared" si="6"/>
        <v>0</v>
      </c>
      <c r="D382" s="80">
        <f t="shared" si="7"/>
        <v>0</v>
      </c>
      <c r="E382" s="80"/>
      <c r="F382" s="81"/>
      <c r="G382" s="81"/>
    </row>
    <row r="383" ht="15.75" spans="1:7">
      <c r="A383" s="257" t="s">
        <v>218</v>
      </c>
      <c r="B383" s="74"/>
      <c r="C383" s="79">
        <f t="shared" si="6"/>
        <v>0</v>
      </c>
      <c r="D383" s="80">
        <f t="shared" si="7"/>
        <v>0</v>
      </c>
      <c r="E383" s="80"/>
      <c r="F383" s="81"/>
      <c r="G383" s="81"/>
    </row>
    <row r="384" ht="15.75" spans="1:7">
      <c r="A384" s="257" t="s">
        <v>219</v>
      </c>
      <c r="B384" s="74"/>
      <c r="C384" s="79">
        <f t="shared" si="6"/>
        <v>0</v>
      </c>
      <c r="D384" s="80">
        <f t="shared" si="7"/>
        <v>0</v>
      </c>
      <c r="E384" s="80"/>
      <c r="F384" s="81"/>
      <c r="G384" s="81"/>
    </row>
    <row r="385" ht="15.75" spans="1:7">
      <c r="A385" s="257" t="s">
        <v>220</v>
      </c>
      <c r="B385" s="74"/>
      <c r="C385" s="79">
        <f t="shared" si="6"/>
        <v>0</v>
      </c>
      <c r="D385" s="80">
        <f t="shared" si="7"/>
        <v>0</v>
      </c>
      <c r="E385" s="80"/>
      <c r="F385" s="81"/>
      <c r="G385" s="81"/>
    </row>
    <row r="386" ht="15.75" spans="1:7">
      <c r="A386" s="257" t="s">
        <v>221</v>
      </c>
      <c r="B386" s="259"/>
      <c r="C386" s="79">
        <f t="shared" si="6"/>
        <v>0</v>
      </c>
      <c r="D386" s="80">
        <f t="shared" si="7"/>
        <v>0</v>
      </c>
      <c r="E386" s="80"/>
      <c r="F386" s="81"/>
      <c r="G386" s="81"/>
    </row>
    <row r="387" ht="15.75" spans="1:7">
      <c r="A387" s="257" t="s">
        <v>221</v>
      </c>
      <c r="B387" s="257"/>
      <c r="C387" s="79">
        <f t="shared" si="6"/>
        <v>0</v>
      </c>
      <c r="D387" s="260" t="s">
        <v>124</v>
      </c>
      <c r="E387" s="72"/>
      <c r="F387" s="73"/>
      <c r="G387" s="84"/>
    </row>
    <row r="388" ht="15.75" spans="1:7">
      <c r="A388" s="257"/>
      <c r="B388" s="257"/>
      <c r="D388" s="116" t="s">
        <v>124</v>
      </c>
      <c r="E388" s="261"/>
      <c r="F388" s="262"/>
      <c r="G388" s="262"/>
    </row>
    <row r="389" ht="48.75" spans="1:7">
      <c r="A389" s="256" t="s">
        <v>233</v>
      </c>
      <c r="B389" s="257"/>
      <c r="D389" s="116" t="s">
        <v>124</v>
      </c>
      <c r="E389" s="263"/>
      <c r="F389" s="264"/>
      <c r="G389" s="265"/>
    </row>
    <row r="390" ht="48.75" spans="1:7">
      <c r="A390" s="256" t="s">
        <v>224</v>
      </c>
      <c r="B390" s="116"/>
      <c r="D390" s="72"/>
      <c r="E390" s="72"/>
      <c r="F390" s="73"/>
      <c r="G390" s="73"/>
    </row>
    <row r="391" ht="84.75" spans="1:7">
      <c r="A391" s="266" t="s">
        <v>225</v>
      </c>
      <c r="B391" s="78"/>
      <c r="D391" s="72"/>
      <c r="E391" s="72"/>
      <c r="F391" s="73"/>
      <c r="G391" s="73"/>
    </row>
    <row r="394" spans="1:2">
      <c r="A394" s="531" t="s">
        <v>226</v>
      </c>
      <c r="B394" s="95" t="e">
        <f>AVERAGE(B342:B381)</f>
        <v>#DIV/0!</v>
      </c>
    </row>
    <row r="395" spans="1:2">
      <c r="A395" s="531" t="s">
        <v>227</v>
      </c>
      <c r="B395" s="96" t="e">
        <f>AVERAGE(B347:B376)</f>
        <v>#DIV/0!</v>
      </c>
    </row>
    <row r="396" spans="1:2">
      <c r="A396" s="531" t="s">
        <v>228</v>
      </c>
      <c r="B396" s="96" t="e">
        <f>AVERAGE(B353:B371)</f>
        <v>#DIV/0!</v>
      </c>
    </row>
    <row r="400" ht="15.75"/>
    <row r="401" ht="15.75" spans="1:7">
      <c r="A401" s="252" t="s">
        <v>165</v>
      </c>
      <c r="B401" s="273" t="s">
        <v>366</v>
      </c>
      <c r="C401" s="274"/>
      <c r="D401" s="275"/>
      <c r="E401" s="70">
        <f>(1-E456)^(1/3)-1</f>
        <v>0</v>
      </c>
      <c r="F401" s="70">
        <f>(1-F456)^(1/3)-1</f>
        <v>0</v>
      </c>
      <c r="G401" s="70"/>
    </row>
    <row r="402" ht="72.75" spans="1:7">
      <c r="A402" s="253"/>
      <c r="B402" s="254" t="s">
        <v>167</v>
      </c>
      <c r="C402">
        <v>0</v>
      </c>
      <c r="D402" s="72" t="s">
        <v>169</v>
      </c>
      <c r="E402" s="72" t="s">
        <v>169</v>
      </c>
      <c r="F402" s="73" t="s">
        <v>169</v>
      </c>
      <c r="G402" s="73"/>
    </row>
    <row r="403" ht="60.75" spans="1:6">
      <c r="A403" s="254"/>
      <c r="B403" s="116" t="s">
        <v>367</v>
      </c>
      <c r="C403" s="79" t="str">
        <f>B402</f>
        <v>Фактическое удельное годовое потребление</v>
      </c>
      <c r="D403" s="271" t="s">
        <v>171</v>
      </c>
      <c r="E403" s="536" t="s">
        <v>227</v>
      </c>
      <c r="F403" s="276"/>
    </row>
    <row r="404" ht="24.75" spans="1:7">
      <c r="A404" s="277">
        <v>1</v>
      </c>
      <c r="B404" s="277"/>
      <c r="C404" s="79" t="str">
        <f t="shared" ref="C404:C452" si="8">B403</f>
        <v>кгут / кв. м</v>
      </c>
      <c r="D404" s="116" t="s">
        <v>367</v>
      </c>
      <c r="E404" s="278">
        <v>5</v>
      </c>
      <c r="F404" s="279">
        <v>6</v>
      </c>
      <c r="G404" s="280"/>
    </row>
    <row r="405" ht="15.75" spans="1:7">
      <c r="A405" s="533" t="s">
        <v>172</v>
      </c>
      <c r="B405" s="257"/>
      <c r="C405" s="79">
        <f t="shared" si="8"/>
        <v>0</v>
      </c>
      <c r="D405" s="281"/>
      <c r="E405" s="80"/>
      <c r="F405" s="81"/>
      <c r="G405" s="81"/>
    </row>
    <row r="406" ht="15.75" spans="1:7">
      <c r="A406" s="533" t="s">
        <v>173</v>
      </c>
      <c r="B406" s="257"/>
      <c r="C406" s="79">
        <f t="shared" si="8"/>
        <v>0</v>
      </c>
      <c r="D406" s="116"/>
      <c r="E406" s="80"/>
      <c r="F406" s="81"/>
      <c r="G406" s="81"/>
    </row>
    <row r="407" ht="15.75" spans="1:7">
      <c r="A407" s="533" t="s">
        <v>174</v>
      </c>
      <c r="B407" s="257"/>
      <c r="C407" s="79">
        <f t="shared" si="8"/>
        <v>0</v>
      </c>
      <c r="D407" s="116"/>
      <c r="E407" s="80"/>
      <c r="F407" s="81"/>
      <c r="G407" s="81"/>
    </row>
    <row r="408" ht="15.75" spans="1:7">
      <c r="A408" s="533" t="s">
        <v>175</v>
      </c>
      <c r="B408" s="257"/>
      <c r="C408" s="79">
        <f t="shared" si="8"/>
        <v>0</v>
      </c>
      <c r="D408" s="116"/>
      <c r="E408" s="80"/>
      <c r="F408" s="81"/>
      <c r="G408" s="81"/>
    </row>
    <row r="409" ht="15.75" spans="1:7">
      <c r="A409" s="533" t="s">
        <v>176</v>
      </c>
      <c r="B409" s="257"/>
      <c r="C409" s="79">
        <f t="shared" si="8"/>
        <v>0</v>
      </c>
      <c r="D409" s="116"/>
      <c r="E409" s="80"/>
      <c r="F409" s="81"/>
      <c r="G409" s="81"/>
    </row>
    <row r="410" ht="15.75" spans="1:7">
      <c r="A410" s="533" t="s">
        <v>177</v>
      </c>
      <c r="B410" s="257"/>
      <c r="C410" s="79">
        <f t="shared" si="8"/>
        <v>0</v>
      </c>
      <c r="D410" s="116"/>
      <c r="E410" s="80"/>
      <c r="F410" s="81"/>
      <c r="G410" s="81"/>
    </row>
    <row r="411" ht="15.75" spans="1:7">
      <c r="A411" s="533" t="s">
        <v>178</v>
      </c>
      <c r="B411" s="257"/>
      <c r="C411" s="79">
        <f t="shared" si="8"/>
        <v>0</v>
      </c>
      <c r="D411" s="116"/>
      <c r="E411" s="80"/>
      <c r="F411" s="81"/>
      <c r="G411" s="81"/>
    </row>
    <row r="412" ht="15.75" spans="1:7">
      <c r="A412" s="257" t="s">
        <v>179</v>
      </c>
      <c r="B412" s="257"/>
      <c r="C412" s="79">
        <f t="shared" si="8"/>
        <v>0</v>
      </c>
      <c r="D412" s="116"/>
      <c r="E412" s="80"/>
      <c r="F412" s="81"/>
      <c r="G412" s="81"/>
    </row>
    <row r="413" ht="15.75" spans="1:7">
      <c r="A413" s="257" t="s">
        <v>180</v>
      </c>
      <c r="B413" s="257"/>
      <c r="C413" s="79">
        <f t="shared" si="8"/>
        <v>0</v>
      </c>
      <c r="D413" s="116"/>
      <c r="E413" s="80"/>
      <c r="F413" s="81"/>
      <c r="G413" s="81"/>
    </row>
    <row r="414" ht="15.75" spans="1:7">
      <c r="A414" s="257" t="s">
        <v>181</v>
      </c>
      <c r="B414" s="257"/>
      <c r="C414" s="79">
        <f t="shared" si="8"/>
        <v>0</v>
      </c>
      <c r="D414" s="116"/>
      <c r="E414" s="80"/>
      <c r="F414" s="81"/>
      <c r="G414" s="81"/>
    </row>
    <row r="415" ht="15.75" spans="1:7">
      <c r="A415" s="257" t="s">
        <v>182</v>
      </c>
      <c r="B415" s="257"/>
      <c r="C415" s="79">
        <f t="shared" si="8"/>
        <v>0</v>
      </c>
      <c r="D415" s="116"/>
      <c r="E415" s="80"/>
      <c r="F415" s="81"/>
      <c r="G415" s="81"/>
    </row>
    <row r="416" ht="15.75" spans="1:7">
      <c r="A416" s="257" t="s">
        <v>183</v>
      </c>
      <c r="B416" s="257"/>
      <c r="C416" s="79">
        <f t="shared" si="8"/>
        <v>0</v>
      </c>
      <c r="D416" s="116"/>
      <c r="E416" s="80"/>
      <c r="F416" s="81"/>
      <c r="G416" s="81"/>
    </row>
    <row r="417" ht="15.75" spans="1:7">
      <c r="A417" s="257" t="s">
        <v>184</v>
      </c>
      <c r="B417" s="257"/>
      <c r="C417" s="79">
        <f t="shared" si="8"/>
        <v>0</v>
      </c>
      <c r="D417" s="116"/>
      <c r="E417" s="80"/>
      <c r="F417" s="81"/>
      <c r="G417" s="81"/>
    </row>
    <row r="418" ht="15.75" spans="1:7">
      <c r="A418" s="257" t="s">
        <v>185</v>
      </c>
      <c r="B418" s="257"/>
      <c r="C418" s="79">
        <f t="shared" si="8"/>
        <v>0</v>
      </c>
      <c r="D418" s="116"/>
      <c r="E418" s="80"/>
      <c r="F418" s="81"/>
      <c r="G418" s="81"/>
    </row>
    <row r="419" ht="15.75" spans="1:7">
      <c r="A419" s="257" t="s">
        <v>186</v>
      </c>
      <c r="B419" s="257"/>
      <c r="C419" s="79">
        <f t="shared" si="8"/>
        <v>0</v>
      </c>
      <c r="D419" s="116"/>
      <c r="E419" s="80"/>
      <c r="F419" s="81"/>
      <c r="G419" s="81"/>
    </row>
    <row r="420" ht="15.75" spans="1:7">
      <c r="A420" s="257" t="s">
        <v>187</v>
      </c>
      <c r="B420" s="257"/>
      <c r="C420" s="79">
        <f t="shared" si="8"/>
        <v>0</v>
      </c>
      <c r="D420" s="116"/>
      <c r="E420" s="80"/>
      <c r="F420" s="81"/>
      <c r="G420" s="81"/>
    </row>
    <row r="421" ht="15.75" spans="1:7">
      <c r="A421" s="257" t="s">
        <v>188</v>
      </c>
      <c r="B421" s="257"/>
      <c r="C421" s="79">
        <f t="shared" si="8"/>
        <v>0</v>
      </c>
      <c r="D421" s="116"/>
      <c r="E421" s="80"/>
      <c r="F421" s="81"/>
      <c r="G421" s="81"/>
    </row>
    <row r="422" ht="15.75" spans="1:7">
      <c r="A422" s="257" t="s">
        <v>189</v>
      </c>
      <c r="B422" s="257"/>
      <c r="C422" s="79">
        <f t="shared" si="8"/>
        <v>0</v>
      </c>
      <c r="D422" s="116"/>
      <c r="E422" s="80"/>
      <c r="F422" s="81"/>
      <c r="G422" s="81"/>
    </row>
    <row r="423" ht="15.75" spans="1:7">
      <c r="A423" s="257" t="s">
        <v>190</v>
      </c>
      <c r="B423" s="257"/>
      <c r="C423" s="79">
        <f t="shared" si="8"/>
        <v>0</v>
      </c>
      <c r="D423" s="116"/>
      <c r="E423" s="80"/>
      <c r="F423" s="81"/>
      <c r="G423" s="81"/>
    </row>
    <row r="424" ht="15.75" spans="1:7">
      <c r="A424" s="257" t="s">
        <v>191</v>
      </c>
      <c r="B424" s="257"/>
      <c r="C424" s="79">
        <f t="shared" si="8"/>
        <v>0</v>
      </c>
      <c r="D424" s="116"/>
      <c r="E424" s="80"/>
      <c r="F424" s="81"/>
      <c r="G424" s="81"/>
    </row>
    <row r="425" ht="15.75" spans="1:7">
      <c r="A425" s="257" t="s">
        <v>192</v>
      </c>
      <c r="B425" s="257"/>
      <c r="C425" s="79">
        <f t="shared" si="8"/>
        <v>0</v>
      </c>
      <c r="D425" s="116"/>
      <c r="E425" s="80"/>
      <c r="F425" s="81"/>
      <c r="G425" s="81"/>
    </row>
    <row r="426" ht="15.75" spans="1:7">
      <c r="A426" s="257" t="s">
        <v>193</v>
      </c>
      <c r="B426" s="257"/>
      <c r="C426" s="79">
        <f t="shared" si="8"/>
        <v>0</v>
      </c>
      <c r="D426" s="116"/>
      <c r="E426" s="80"/>
      <c r="F426" s="81"/>
      <c r="G426" s="81"/>
    </row>
    <row r="427" ht="15.75" spans="1:7">
      <c r="A427" s="257" t="s">
        <v>194</v>
      </c>
      <c r="B427" s="257"/>
      <c r="C427" s="79">
        <f t="shared" si="8"/>
        <v>0</v>
      </c>
      <c r="D427" s="116"/>
      <c r="E427" s="80"/>
      <c r="F427" s="81"/>
      <c r="G427" s="81"/>
    </row>
    <row r="428" ht="15.75" spans="1:7">
      <c r="A428" s="257" t="s">
        <v>195</v>
      </c>
      <c r="B428" s="257"/>
      <c r="C428" s="79">
        <f t="shared" si="8"/>
        <v>0</v>
      </c>
      <c r="D428" s="116"/>
      <c r="E428" s="80"/>
      <c r="F428" s="81"/>
      <c r="G428" s="81"/>
    </row>
    <row r="429" ht="15.75" spans="1:7">
      <c r="A429" s="257" t="s">
        <v>196</v>
      </c>
      <c r="B429" s="257"/>
      <c r="C429" s="79">
        <f t="shared" si="8"/>
        <v>0</v>
      </c>
      <c r="D429" s="116"/>
      <c r="E429" s="80"/>
      <c r="F429" s="81"/>
      <c r="G429" s="81"/>
    </row>
    <row r="430" ht="15.75" spans="1:7">
      <c r="A430" s="257" t="s">
        <v>197</v>
      </c>
      <c r="B430" s="257"/>
      <c r="C430" s="79">
        <f t="shared" si="8"/>
        <v>0</v>
      </c>
      <c r="D430" s="116"/>
      <c r="E430" s="80"/>
      <c r="F430" s="81"/>
      <c r="G430" s="81"/>
    </row>
    <row r="431" ht="15.75" spans="1:7">
      <c r="A431" s="257" t="s">
        <v>198</v>
      </c>
      <c r="B431" s="257"/>
      <c r="C431" s="79">
        <f t="shared" si="8"/>
        <v>0</v>
      </c>
      <c r="D431" s="116"/>
      <c r="E431" s="80"/>
      <c r="F431" s="81"/>
      <c r="G431" s="81"/>
    </row>
    <row r="432" ht="15.75" spans="1:7">
      <c r="A432" s="257" t="s">
        <v>199</v>
      </c>
      <c r="B432" s="257"/>
      <c r="C432" s="79">
        <f t="shared" si="8"/>
        <v>0</v>
      </c>
      <c r="D432" s="116"/>
      <c r="E432" s="80"/>
      <c r="F432" s="81"/>
      <c r="G432" s="81"/>
    </row>
    <row r="433" ht="15.75" spans="1:7">
      <c r="A433" s="257" t="s">
        <v>200</v>
      </c>
      <c r="B433" s="257"/>
      <c r="C433" s="79">
        <f t="shared" si="8"/>
        <v>0</v>
      </c>
      <c r="D433" s="116"/>
      <c r="E433" s="80"/>
      <c r="F433" s="81"/>
      <c r="G433" s="81"/>
    </row>
    <row r="434" ht="15.75" spans="1:7">
      <c r="A434" s="257" t="s">
        <v>201</v>
      </c>
      <c r="B434" s="257"/>
      <c r="C434" s="79">
        <f t="shared" si="8"/>
        <v>0</v>
      </c>
      <c r="D434" s="116"/>
      <c r="E434" s="80"/>
      <c r="F434" s="81"/>
      <c r="G434" s="81"/>
    </row>
    <row r="435" ht="15.75" spans="1:7">
      <c r="A435" s="257" t="s">
        <v>202</v>
      </c>
      <c r="B435" s="257"/>
      <c r="C435" s="79">
        <f t="shared" si="8"/>
        <v>0</v>
      </c>
      <c r="D435" s="116"/>
      <c r="E435" s="80"/>
      <c r="F435" s="81"/>
      <c r="G435" s="81"/>
    </row>
    <row r="436" ht="15.75" spans="1:7">
      <c r="A436" s="257" t="s">
        <v>203</v>
      </c>
      <c r="B436" s="257"/>
      <c r="C436" s="79">
        <f t="shared" si="8"/>
        <v>0</v>
      </c>
      <c r="D436" s="116"/>
      <c r="E436" s="80"/>
      <c r="F436" s="81"/>
      <c r="G436" s="81"/>
    </row>
    <row r="437" ht="15.75" spans="1:7">
      <c r="A437" s="257" t="s">
        <v>204</v>
      </c>
      <c r="B437" s="257"/>
      <c r="C437" s="79">
        <f t="shared" si="8"/>
        <v>0</v>
      </c>
      <c r="D437" s="116"/>
      <c r="E437" s="80"/>
      <c r="F437" s="81"/>
      <c r="G437" s="81"/>
    </row>
    <row r="438" ht="15.75" spans="1:7">
      <c r="A438" s="257" t="s">
        <v>205</v>
      </c>
      <c r="B438" s="257"/>
      <c r="C438" s="79">
        <f t="shared" si="8"/>
        <v>0</v>
      </c>
      <c r="D438" s="116"/>
      <c r="E438" s="80"/>
      <c r="F438" s="81"/>
      <c r="G438" s="81"/>
    </row>
    <row r="439" ht="15.75" spans="1:7">
      <c r="A439" s="257" t="s">
        <v>206</v>
      </c>
      <c r="B439" s="257"/>
      <c r="C439" s="79">
        <f t="shared" si="8"/>
        <v>0</v>
      </c>
      <c r="D439" s="116"/>
      <c r="E439" s="80"/>
      <c r="F439" s="81"/>
      <c r="G439" s="81"/>
    </row>
    <row r="440" ht="15.75" spans="1:7">
      <c r="A440" s="257" t="s">
        <v>207</v>
      </c>
      <c r="B440" s="257"/>
      <c r="C440" s="79">
        <f t="shared" si="8"/>
        <v>0</v>
      </c>
      <c r="D440" s="116"/>
      <c r="E440" s="80"/>
      <c r="F440" s="81"/>
      <c r="G440" s="81"/>
    </row>
    <row r="441" ht="15.75" spans="1:7">
      <c r="A441" s="257" t="s">
        <v>208</v>
      </c>
      <c r="B441" s="257"/>
      <c r="C441" s="79">
        <f t="shared" si="8"/>
        <v>0</v>
      </c>
      <c r="D441" s="116"/>
      <c r="E441" s="80"/>
      <c r="F441" s="81"/>
      <c r="G441" s="81"/>
    </row>
    <row r="442" ht="15.75" spans="1:7">
      <c r="A442" s="257" t="s">
        <v>209</v>
      </c>
      <c r="B442" s="257"/>
      <c r="C442" s="79">
        <f t="shared" si="8"/>
        <v>0</v>
      </c>
      <c r="D442" s="116"/>
      <c r="E442" s="80"/>
      <c r="F442" s="81"/>
      <c r="G442" s="81"/>
    </row>
    <row r="443" ht="15.75" spans="1:7">
      <c r="A443" s="257" t="s">
        <v>210</v>
      </c>
      <c r="B443" s="257"/>
      <c r="C443" s="79">
        <f t="shared" si="8"/>
        <v>0</v>
      </c>
      <c r="D443" s="116"/>
      <c r="E443" s="80"/>
      <c r="F443" s="81"/>
      <c r="G443" s="81"/>
    </row>
    <row r="444" ht="15.75" spans="1:7">
      <c r="A444" s="257" t="s">
        <v>211</v>
      </c>
      <c r="B444" s="257"/>
      <c r="C444" s="79">
        <f t="shared" si="8"/>
        <v>0</v>
      </c>
      <c r="D444" s="116"/>
      <c r="E444" s="80"/>
      <c r="F444" s="81"/>
      <c r="G444" s="81"/>
    </row>
    <row r="445" ht="15.75" spans="1:7">
      <c r="A445" s="257" t="s">
        <v>212</v>
      </c>
      <c r="B445" s="257"/>
      <c r="C445" s="79">
        <f t="shared" si="8"/>
        <v>0</v>
      </c>
      <c r="D445" s="116"/>
      <c r="E445" s="80"/>
      <c r="F445" s="81"/>
      <c r="G445" s="81"/>
    </row>
    <row r="446" ht="15.75" spans="1:7">
      <c r="A446" s="257" t="s">
        <v>213</v>
      </c>
      <c r="B446" s="257"/>
      <c r="C446" s="79">
        <f t="shared" si="8"/>
        <v>0</v>
      </c>
      <c r="D446" s="116"/>
      <c r="E446" s="80"/>
      <c r="F446" s="81"/>
      <c r="G446" s="81"/>
    </row>
    <row r="447" ht="15.75" spans="1:7">
      <c r="A447" s="257" t="s">
        <v>214</v>
      </c>
      <c r="B447" s="257"/>
      <c r="C447" s="79">
        <f t="shared" si="8"/>
        <v>0</v>
      </c>
      <c r="D447" s="116"/>
      <c r="E447" s="80"/>
      <c r="F447" s="81"/>
      <c r="G447" s="81"/>
    </row>
    <row r="448" ht="15.75" spans="1:7">
      <c r="A448" s="257" t="s">
        <v>215</v>
      </c>
      <c r="B448" s="257"/>
      <c r="C448" s="79">
        <f t="shared" si="8"/>
        <v>0</v>
      </c>
      <c r="D448" s="116"/>
      <c r="E448" s="80"/>
      <c r="F448" s="81"/>
      <c r="G448" s="81"/>
    </row>
    <row r="449" ht="15.75" spans="1:7">
      <c r="A449" s="257" t="s">
        <v>216</v>
      </c>
      <c r="B449" s="257"/>
      <c r="C449" s="79">
        <f t="shared" si="8"/>
        <v>0</v>
      </c>
      <c r="D449" s="116"/>
      <c r="E449" s="80"/>
      <c r="F449" s="81"/>
      <c r="G449" s="81"/>
    </row>
    <row r="450" ht="15.75" spans="1:7">
      <c r="A450" s="257" t="s">
        <v>217</v>
      </c>
      <c r="B450" s="257"/>
      <c r="C450" s="79">
        <f t="shared" si="8"/>
        <v>0</v>
      </c>
      <c r="D450" s="116"/>
      <c r="E450" s="80"/>
      <c r="F450" s="81"/>
      <c r="G450" s="81"/>
    </row>
    <row r="451" ht="15.75" spans="1:7">
      <c r="A451" s="257" t="s">
        <v>218</v>
      </c>
      <c r="B451" s="257"/>
      <c r="C451" s="79">
        <f t="shared" si="8"/>
        <v>0</v>
      </c>
      <c r="D451" s="116"/>
      <c r="E451" s="80"/>
      <c r="F451" s="81"/>
      <c r="G451" s="81"/>
    </row>
    <row r="452" ht="15.75" spans="1:7">
      <c r="A452" s="257" t="s">
        <v>219</v>
      </c>
      <c r="B452" s="257"/>
      <c r="C452" s="79">
        <f t="shared" si="8"/>
        <v>0</v>
      </c>
      <c r="D452" s="116"/>
      <c r="E452" s="80"/>
      <c r="F452" s="81"/>
      <c r="G452" s="81"/>
    </row>
    <row r="453" ht="15.75" spans="1:7">
      <c r="A453" s="257" t="s">
        <v>220</v>
      </c>
      <c r="B453" s="257"/>
      <c r="D453" s="116"/>
      <c r="E453" s="80"/>
      <c r="F453" s="81"/>
      <c r="G453" s="81"/>
    </row>
    <row r="454" ht="15.75" spans="1:7">
      <c r="A454" s="257" t="s">
        <v>221</v>
      </c>
      <c r="B454" s="257"/>
      <c r="D454" s="116"/>
      <c r="E454" s="80"/>
      <c r="F454" s="81"/>
      <c r="G454" s="81"/>
    </row>
    <row r="455" ht="15.75" spans="1:7">
      <c r="A455" s="257" t="s">
        <v>221</v>
      </c>
      <c r="B455" s="257"/>
      <c r="D455" s="260"/>
      <c r="E455" s="72"/>
      <c r="F455" s="73"/>
      <c r="G455" s="84"/>
    </row>
    <row r="456" ht="15.75" spans="1:7">
      <c r="A456" s="257"/>
      <c r="B456" s="257"/>
      <c r="D456" s="116"/>
      <c r="E456" s="261"/>
      <c r="F456" s="262"/>
      <c r="G456" s="262"/>
    </row>
    <row r="457" ht="48.75" spans="1:7">
      <c r="A457" s="256" t="s">
        <v>233</v>
      </c>
      <c r="B457" s="257"/>
      <c r="D457" s="116"/>
      <c r="E457" s="263"/>
      <c r="F457" s="264"/>
      <c r="G457" s="265"/>
    </row>
    <row r="458" ht="48.75" spans="1:7">
      <c r="A458" s="256" t="s">
        <v>224</v>
      </c>
      <c r="B458" s="116"/>
      <c r="D458" s="72"/>
      <c r="E458" s="72"/>
      <c r="F458" s="73"/>
      <c r="G458" s="73"/>
    </row>
    <row r="459" ht="84.75" spans="1:7">
      <c r="A459" s="266" t="s">
        <v>225</v>
      </c>
      <c r="B459" s="116"/>
      <c r="D459" s="72"/>
      <c r="E459" s="72"/>
      <c r="F459" s="73"/>
      <c r="G459" s="73"/>
    </row>
    <row r="462" spans="1:2">
      <c r="A462" s="531" t="s">
        <v>226</v>
      </c>
      <c r="B462" s="95" t="e">
        <f>AVERAGE(B410:B449)</f>
        <v>#DIV/0!</v>
      </c>
    </row>
    <row r="463" spans="1:2">
      <c r="A463" s="531" t="s">
        <v>227</v>
      </c>
      <c r="B463" s="96" t="e">
        <f>AVERAGE(B415:B444)</f>
        <v>#DIV/0!</v>
      </c>
    </row>
    <row r="464" spans="1:2">
      <c r="A464" s="531" t="s">
        <v>228</v>
      </c>
      <c r="B464" s="96" t="e">
        <f>AVERAGE(B421:B439)</f>
        <v>#DIV/0!</v>
      </c>
    </row>
  </sheetData>
  <mergeCells count="14">
    <mergeCell ref="B2:D2"/>
    <mergeCell ref="B69:D69"/>
    <mergeCell ref="B134:D134"/>
    <mergeCell ref="B200:D200"/>
    <mergeCell ref="B266:D266"/>
    <mergeCell ref="B333:D333"/>
    <mergeCell ref="B401:D401"/>
    <mergeCell ref="A2:A4"/>
    <mergeCell ref="A69:A71"/>
    <mergeCell ref="A134:A136"/>
    <mergeCell ref="A200:A202"/>
    <mergeCell ref="A266:A268"/>
    <mergeCell ref="A333:A335"/>
    <mergeCell ref="A401:A403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Лист2"/>
  <dimension ref="A1:AH92"/>
  <sheetViews>
    <sheetView workbookViewId="0">
      <pane xSplit="2" ySplit="5" topLeftCell="M6" activePane="bottomRight" state="frozen"/>
      <selection/>
      <selection pane="topRight"/>
      <selection pane="bottomLeft"/>
      <selection pane="bottomRight" activeCell="B6" sqref="B6"/>
    </sheetView>
  </sheetViews>
  <sheetFormatPr defaultColWidth="9.18095238095238" defaultRowHeight="15"/>
  <cols>
    <col min="1" max="1" width="9.18095238095238" style="469"/>
    <col min="2" max="2" width="11.4571428571429" style="469" customWidth="1"/>
    <col min="3" max="3" width="13.2666666666667" style="469" customWidth="1"/>
    <col min="4" max="15" width="9.18095238095238" style="469"/>
    <col min="16" max="17" width="4.72380952380952" style="469" customWidth="1"/>
    <col min="18" max="18" width="7.45714285714286" style="469" customWidth="1"/>
    <col min="19" max="19" width="17.2666666666667" style="469" customWidth="1"/>
    <col min="20" max="21" width="6.18095238095238" style="469" customWidth="1"/>
    <col min="22" max="24" width="4.72380952380952" style="469" customWidth="1"/>
    <col min="25" max="29" width="8.45714285714286" style="469" customWidth="1"/>
    <col min="30" max="32" width="9.18095238095238" style="469"/>
    <col min="33" max="33" width="12" style="469" customWidth="1"/>
    <col min="34" max="16384" width="9.18095238095238" style="469"/>
  </cols>
  <sheetData>
    <row r="1" spans="2:34">
      <c r="B1" s="469">
        <v>1</v>
      </c>
      <c r="C1" s="469">
        <v>2</v>
      </c>
      <c r="D1" s="469">
        <v>3</v>
      </c>
      <c r="E1" s="469">
        <v>4</v>
      </c>
      <c r="F1" s="469">
        <v>5</v>
      </c>
      <c r="G1" s="469">
        <v>6</v>
      </c>
      <c r="H1" s="469">
        <v>7</v>
      </c>
      <c r="I1" s="469">
        <v>8</v>
      </c>
      <c r="J1" s="469">
        <v>9</v>
      </c>
      <c r="K1" s="469">
        <v>10</v>
      </c>
      <c r="L1" s="469">
        <v>11</v>
      </c>
      <c r="M1" s="469">
        <v>12</v>
      </c>
      <c r="N1" s="469">
        <v>13</v>
      </c>
      <c r="O1" s="469">
        <v>14</v>
      </c>
      <c r="P1" s="469">
        <v>15</v>
      </c>
      <c r="Q1" s="469">
        <v>16</v>
      </c>
      <c r="R1" s="469">
        <v>17</v>
      </c>
      <c r="S1" s="469">
        <v>18</v>
      </c>
      <c r="T1" s="469">
        <v>19</v>
      </c>
      <c r="U1" s="469">
        <v>20</v>
      </c>
      <c r="V1" s="469">
        <v>21</v>
      </c>
      <c r="W1" s="469">
        <v>22</v>
      </c>
      <c r="X1" s="469">
        <v>23</v>
      </c>
      <c r="Y1" s="469">
        <v>24</v>
      </c>
      <c r="Z1" s="469">
        <v>25</v>
      </c>
      <c r="AA1" s="469">
        <v>26</v>
      </c>
      <c r="AB1" s="469">
        <v>27</v>
      </c>
      <c r="AC1" s="469">
        <v>28</v>
      </c>
      <c r="AD1" s="469">
        <v>29</v>
      </c>
      <c r="AE1" s="469">
        <v>30</v>
      </c>
      <c r="AF1" s="469">
        <v>31</v>
      </c>
      <c r="AG1" s="469">
        <v>32</v>
      </c>
      <c r="AH1" s="469">
        <v>33</v>
      </c>
    </row>
    <row r="2" spans="18:29">
      <c r="R2" s="491" t="s">
        <v>29</v>
      </c>
      <c r="S2" s="492"/>
      <c r="T2" s="492"/>
      <c r="U2" s="492"/>
      <c r="V2" s="492"/>
      <c r="W2" s="492"/>
      <c r="X2" s="491" t="s">
        <v>30</v>
      </c>
      <c r="Y2" s="492"/>
      <c r="Z2" s="492"/>
      <c r="AA2" s="492"/>
      <c r="AB2" s="492"/>
      <c r="AC2" s="492"/>
    </row>
    <row r="3" spans="4:29">
      <c r="D3" s="469" t="s">
        <v>31</v>
      </c>
      <c r="F3" s="469" t="s">
        <v>32</v>
      </c>
      <c r="H3" s="469" t="s">
        <v>33</v>
      </c>
      <c r="J3" s="469" t="s">
        <v>34</v>
      </c>
      <c r="L3" s="469" t="s">
        <v>35</v>
      </c>
      <c r="P3" s="469" t="s">
        <v>36</v>
      </c>
      <c r="R3" s="469" t="s">
        <v>31</v>
      </c>
      <c r="S3" s="469" t="s">
        <v>32</v>
      </c>
      <c r="T3" s="469" t="s">
        <v>33</v>
      </c>
      <c r="U3" s="469" t="s">
        <v>34</v>
      </c>
      <c r="V3" s="469" t="s">
        <v>35</v>
      </c>
      <c r="W3" s="469" t="s">
        <v>37</v>
      </c>
      <c r="X3" s="469" t="s">
        <v>31</v>
      </c>
      <c r="Y3" s="469" t="s">
        <v>32</v>
      </c>
      <c r="Z3" s="469" t="s">
        <v>33</v>
      </c>
      <c r="AA3" s="469" t="s">
        <v>34</v>
      </c>
      <c r="AB3" s="469" t="s">
        <v>35</v>
      </c>
      <c r="AC3" s="469" t="s">
        <v>37</v>
      </c>
    </row>
    <row r="4" spans="4:16">
      <c r="D4" s="469" t="s">
        <v>38</v>
      </c>
      <c r="F4" s="469" t="s">
        <v>39</v>
      </c>
      <c r="H4" s="469" t="s">
        <v>40</v>
      </c>
      <c r="J4" s="469" t="s">
        <v>40</v>
      </c>
      <c r="L4" s="469" t="s">
        <v>41</v>
      </c>
      <c r="P4" s="469" t="s">
        <v>39</v>
      </c>
    </row>
    <row r="5" spans="2:17">
      <c r="B5" s="470" t="s">
        <v>42</v>
      </c>
      <c r="C5" s="469" t="s">
        <v>43</v>
      </c>
      <c r="D5" s="469" t="s">
        <v>44</v>
      </c>
      <c r="E5" s="469" t="s">
        <v>45</v>
      </c>
      <c r="F5" s="469" t="s">
        <v>44</v>
      </c>
      <c r="G5" s="469" t="s">
        <v>45</v>
      </c>
      <c r="H5" s="469" t="s">
        <v>44</v>
      </c>
      <c r="I5" s="469" t="s">
        <v>45</v>
      </c>
      <c r="J5" s="469" t="s">
        <v>44</v>
      </c>
      <c r="K5" s="469" t="s">
        <v>45</v>
      </c>
      <c r="L5" s="469" t="s">
        <v>44</v>
      </c>
      <c r="M5" s="469" t="s">
        <v>45</v>
      </c>
      <c r="N5" s="472" t="s">
        <v>46</v>
      </c>
      <c r="O5" s="472" t="s">
        <v>47</v>
      </c>
      <c r="P5" s="469" t="s">
        <v>44</v>
      </c>
      <c r="Q5" s="469" t="s">
        <v>45</v>
      </c>
    </row>
    <row r="6" spans="2:34">
      <c r="B6" s="469" t="s">
        <v>48</v>
      </c>
      <c r="C6" s="471">
        <v>2</v>
      </c>
      <c r="D6" s="469">
        <v>43.73</v>
      </c>
      <c r="E6" s="469">
        <v>26.24</v>
      </c>
      <c r="F6" s="469">
        <v>56.43</v>
      </c>
      <c r="G6" s="469">
        <v>33.86</v>
      </c>
      <c r="H6" s="469">
        <v>4.47</v>
      </c>
      <c r="I6" s="469">
        <v>2.68</v>
      </c>
      <c r="J6" s="469">
        <v>7.55</v>
      </c>
      <c r="K6" s="469">
        <v>4.53</v>
      </c>
      <c r="L6" s="469">
        <v>33.92</v>
      </c>
      <c r="M6" s="469">
        <v>20.35</v>
      </c>
      <c r="N6" s="469">
        <f>VLOOKUP('1.Общие данные по зданию'!$C$10,'Экспресс потенциал'!C33:I44,IF('1.Общие данные по зданию'!C9="1 смена",4,5),1)</f>
        <v>1.07</v>
      </c>
      <c r="O6" s="472">
        <v>21</v>
      </c>
      <c r="P6" s="472">
        <v>195.92</v>
      </c>
      <c r="Q6" s="472">
        <v>117.55</v>
      </c>
      <c r="R6" s="493">
        <f>VLOOKUP(0.9999*'0.Результаты расчета'!$B$29,ДОУ!$C$6:$E$55,3,1)</f>
        <v>0.188415322580645</v>
      </c>
      <c r="S6" s="493">
        <f>VLOOKUP(0.9999*'0.Результаты расчета'!$B$26,ДОУ!$C$73:$E$122,3,1)</f>
        <v>0.034125486381323</v>
      </c>
      <c r="T6" s="493" t="e">
        <f>VLOOKUP(0.9999*'0.Результаты расчета'!$B$27,ДОУ!$C$138:$E$187,3,1)</f>
        <v>#VALUE!</v>
      </c>
      <c r="U6" s="493">
        <f>VLOOKUP(0.9999*'0.Результаты расчета'!$B$28,ДОУ!$C$204:$E$253,3,1)</f>
        <v>0</v>
      </c>
      <c r="V6" s="493" t="e">
        <f>VLOOKUP(0.9999*'0.Результаты расчета'!$B$30,ДОУ!$C$270:$E$319,3,1)</f>
        <v>#VALUE!</v>
      </c>
      <c r="W6" s="493" t="e">
        <f>VLOOKUP(0.9999*'0.Результаты расчета'!$B$31,ДОУ!$C$337:$E$386,3,1)</f>
        <v>#VALUE!</v>
      </c>
      <c r="X6" s="493">
        <f>VLOOKUP(0.9999*'0.Результаты расчета'!$B$29,ДОУ!$C$6:$E$55,2,1)</f>
        <v>0.647358870967742</v>
      </c>
      <c r="Y6" s="493">
        <f>VLOOKUP(0.9999*'0.Результаты расчета'!$B$26,ДОУ!$C$73:$E$122,2,1)</f>
        <v>0.34125486381323</v>
      </c>
      <c r="Z6" s="493" t="e">
        <f>VLOOKUP(0.9999*'0.Результаты расчета'!$B$27,ДОУ!$C$138:$E$187,2,1)</f>
        <v>#VALUE!</v>
      </c>
      <c r="AA6" s="493">
        <f>VLOOKUP(0.9999*'0.Результаты расчета'!$B$28,ДОУ!$C$204:$E$253,2,1)</f>
        <v>0</v>
      </c>
      <c r="AB6" s="493" t="e">
        <f>VLOOKUP(0.9999*'0.Результаты расчета'!$B$30,ДОУ!$C$270:$E$319,2,1)</f>
        <v>#VALUE!</v>
      </c>
      <c r="AC6" s="493" t="e">
        <f>VLOOKUP(0.9999*'0.Результаты расчета'!$B$31,ДОУ!$C$337:$E$386,2,1)</f>
        <v>#VALUE!</v>
      </c>
      <c r="AD6" s="469" t="s">
        <v>49</v>
      </c>
      <c r="AE6" s="469" t="s">
        <v>50</v>
      </c>
      <c r="AF6" s="469">
        <f>G6*'1.Общие данные по зданию'!$C$19*N6/8.078/1163/0.93</f>
        <v>7.67557002387623</v>
      </c>
      <c r="AG6" s="469">
        <f>I6*'1.Общие данные по зданию'!$C$16*IF('1.Общие данные по зданию'!$C$6='Экспресс потенциал'!$B$6,0.032,0.059)*1000/'1.Общие данные по зданию'!$C$15/8.078/0.93</f>
        <v>1.9928417971144</v>
      </c>
      <c r="AH6" s="469">
        <f>AF6+AG6</f>
        <v>9.66841182099063</v>
      </c>
    </row>
    <row r="7" spans="1:34">
      <c r="A7" s="470"/>
      <c r="B7" s="470" t="s">
        <v>51</v>
      </c>
      <c r="C7" s="471">
        <v>3</v>
      </c>
      <c r="D7" s="469">
        <v>23.6</v>
      </c>
      <c r="E7" s="469">
        <v>14.16</v>
      </c>
      <c r="F7" s="469">
        <v>47.32</v>
      </c>
      <c r="G7" s="469">
        <v>28.39</v>
      </c>
      <c r="H7" s="469">
        <v>1.79</v>
      </c>
      <c r="I7" s="469">
        <v>1.07</v>
      </c>
      <c r="J7" s="469">
        <v>2.66</v>
      </c>
      <c r="K7" s="469">
        <v>1.59</v>
      </c>
      <c r="L7" s="469">
        <v>35.09</v>
      </c>
      <c r="M7" s="469">
        <v>21.05</v>
      </c>
      <c r="N7" s="469">
        <f>VLOOKUP('1.Общие данные по зданию'!$C$10,'Экспресс потенциал'!C33:I44,IF('1.Общие данные по зданию'!C9="1 смена",6,7),1)</f>
        <v>1.17</v>
      </c>
      <c r="O7" s="472">
        <v>18</v>
      </c>
      <c r="P7" s="472">
        <v>162.5</v>
      </c>
      <c r="Q7" s="472">
        <v>97.5</v>
      </c>
      <c r="R7" s="493">
        <f>VLOOKUP(0.9999*'0.Результаты расчета'!$B$29,Общеобр.У!$C$6:$E$55,3,1)</f>
        <v>0.196746411483254</v>
      </c>
      <c r="S7" s="493">
        <f>VLOOKUP(0.9999*'0.Результаты расчета'!$B$26,Общеобр.У!$C$73:$E$122,3,1)</f>
        <v>0.0672636718750001</v>
      </c>
      <c r="T7" s="493" t="e">
        <f>VLOOKUP(0.9999*'0.Результаты расчета'!$B$27,Общеобр.У!$C$138:$E$187,3,1)</f>
        <v>#VALUE!</v>
      </c>
      <c r="U7" s="493">
        <f>VLOOKUP(0.9999*'0.Результаты расчета'!$B$28,Общеобр.У!$C$204:$E$253,3,1)</f>
        <v>0.124397694524496</v>
      </c>
      <c r="V7" s="493" t="e">
        <f>VLOOKUP(0.9999*'0.Результаты расчета'!$B$30,Общеобр.У!$C$270:$E$319,3,1)</f>
        <v>#VALUE!</v>
      </c>
      <c r="W7" s="493" t="e">
        <f>VLOOKUP(0.9999*'0.Результаты расчета'!$B$31,Общеобр.У!$C$337:$E$386,3,1)</f>
        <v>#VALUE!</v>
      </c>
      <c r="X7" s="493">
        <f>VLOOKUP(0.9999*'0.Результаты расчета'!$B$29,Общеобр.У!$C$6:$E$55,2,1)</f>
        <v>0.661244019138756</v>
      </c>
      <c r="Y7" s="493">
        <f>VLOOKUP(0.9999*'0.Результаты расчета'!$B$26,Общеобр.У!$C$73:$E$122,2,1)</f>
        <v>0.445439453125</v>
      </c>
      <c r="Z7" s="493" t="e">
        <f>VLOOKUP(0.9999*'0.Результаты расчета'!$B$27,Общеобр.У!$C$138:$E$187,2,1)</f>
        <v>#VALUE!</v>
      </c>
      <c r="AA7" s="493">
        <f>VLOOKUP(0.9999*'0.Результаты расчета'!$B$28,Общеобр.У!$C$204:$E$253,2,1)</f>
        <v>0.540662824207493</v>
      </c>
      <c r="AB7" s="493" t="e">
        <f>VLOOKUP(0.9999*'0.Результаты расчета'!$B$30,Общеобр.У!$C$270:$E$319,2,1)</f>
        <v>#VALUE!</v>
      </c>
      <c r="AC7" s="493" t="e">
        <f>VLOOKUP(0.9999*'0.Результаты расчета'!$B$31,Общеобр.У!$C$337:$E$386,2,1)</f>
        <v>#VALUE!</v>
      </c>
      <c r="AD7" s="469" t="s">
        <v>49</v>
      </c>
      <c r="AE7" s="469" t="s">
        <v>50</v>
      </c>
      <c r="AF7" s="469">
        <f>G7*'1.Общие данные по зданию'!$C$19*N7/8.078/1163/0.93</f>
        <v>7.03705849219932</v>
      </c>
      <c r="AG7" s="469">
        <f>I7*'1.Общие данные по зданию'!$C$16*IF('1.Общие данные по зданию'!$C$6='Экспресс потенциал'!$B$6,0.032,0.059)*1000/'1.Общие данные по зданию'!$C$15/8.078/0.93</f>
        <v>0.795649523474779</v>
      </c>
      <c r="AH7" s="469">
        <f t="shared" ref="AH7:AH26" si="0">AF7+AG7</f>
        <v>7.8327080156741</v>
      </c>
    </row>
    <row r="8" spans="1:34">
      <c r="A8" s="470"/>
      <c r="B8" s="470" t="s">
        <v>52</v>
      </c>
      <c r="C8" s="469">
        <v>2</v>
      </c>
      <c r="D8" s="469">
        <v>29.8</v>
      </c>
      <c r="E8" s="469">
        <v>17.88</v>
      </c>
      <c r="F8" s="472">
        <v>57.08</v>
      </c>
      <c r="G8" s="472">
        <v>34.25</v>
      </c>
      <c r="H8" s="469" t="s">
        <v>53</v>
      </c>
      <c r="I8" s="469" t="s">
        <v>53</v>
      </c>
      <c r="J8" s="469">
        <v>2.87</v>
      </c>
      <c r="K8" s="469">
        <v>1.72</v>
      </c>
      <c r="L8" s="469" t="s">
        <v>53</v>
      </c>
      <c r="M8" s="469" t="s">
        <v>53</v>
      </c>
      <c r="N8" s="469">
        <f>VLOOKUP('1.Общие данные по зданию'!$C$10,'Экспресс потенциал'!C33:I44,IF('1.Общие данные по зданию'!C9="1 смена",4,5),1)</f>
        <v>1.07</v>
      </c>
      <c r="O8" s="469">
        <v>18</v>
      </c>
      <c r="P8" s="469" t="s">
        <v>53</v>
      </c>
      <c r="Q8" s="469" t="s">
        <v>53</v>
      </c>
      <c r="R8" s="493">
        <f>VLOOKUP(0.9999*'0.Результаты расчета'!$B$29,ВУЗ!$C$6:$E$55,3,1)</f>
        <v>0.264358269790921</v>
      </c>
      <c r="S8" s="493">
        <f>VLOOKUP(0.9999*'0.Результаты расчета'!$B$26,ВУЗ!$C$73:$E$122,3,1)</f>
        <v>0.0334090997472292</v>
      </c>
      <c r="T8" s="494">
        <v>0.06</v>
      </c>
      <c r="U8" s="493">
        <f>VLOOKUP(0.9999*'0.Результаты расчета'!$B$28,ВУЗ!$C$204:$E$253,3,1)</f>
        <v>0.0971570245673349</v>
      </c>
      <c r="V8" s="494">
        <v>0.06</v>
      </c>
      <c r="W8" s="494">
        <v>0.06</v>
      </c>
      <c r="X8" s="493">
        <f>VLOOKUP(0.9999*'0.Результаты расчета'!$B$29,ВУЗ!$C$6:$E$55,2,1)</f>
        <v>0.773930449651534</v>
      </c>
      <c r="Y8" s="493">
        <f>VLOOKUP(0.9999*'0.Результаты расчета'!$B$26,ВУЗ!$C$73:$E$122,2,1)</f>
        <v>0.334090997472292</v>
      </c>
      <c r="Z8" s="469" t="s">
        <v>53</v>
      </c>
      <c r="AA8" s="493">
        <f>VLOOKUP(0.9999*'0.Результаты расчета'!$B$28,ВУЗ!$C$204:$E$253,2,1)</f>
        <v>0.495261707612225</v>
      </c>
      <c r="AB8" s="469" t="s">
        <v>53</v>
      </c>
      <c r="AC8" s="469" t="s">
        <v>53</v>
      </c>
      <c r="AD8" s="469" t="s">
        <v>49</v>
      </c>
      <c r="AE8" s="469" t="s">
        <v>50</v>
      </c>
      <c r="AF8" s="469">
        <f>G8*'1.Общие данные по зданию'!$C$19*N8/8.078/1163/0.93</f>
        <v>7.76397735728768</v>
      </c>
      <c r="AH8" s="469">
        <f t="shared" si="0"/>
        <v>7.76397735728768</v>
      </c>
    </row>
    <row r="9" spans="2:34">
      <c r="B9" s="469" t="s">
        <v>54</v>
      </c>
      <c r="C9" s="469">
        <v>1</v>
      </c>
      <c r="D9" s="469">
        <v>33.95</v>
      </c>
      <c r="E9" s="469">
        <f>ROUND(D9*0.6,2)</f>
        <v>20.37</v>
      </c>
      <c r="F9" s="472">
        <v>54.32</v>
      </c>
      <c r="G9" s="472">
        <v>32.59</v>
      </c>
      <c r="H9" s="469" t="s">
        <v>53</v>
      </c>
      <c r="I9" s="469" t="s">
        <v>53</v>
      </c>
      <c r="J9" s="469">
        <v>4.39</v>
      </c>
      <c r="K9" s="469">
        <v>2.64</v>
      </c>
      <c r="L9" s="469" t="s">
        <v>53</v>
      </c>
      <c r="M9" s="469" t="s">
        <v>53</v>
      </c>
      <c r="N9" s="469">
        <f>VLOOKUP('1.Общие данные по зданию'!$C$10,'Экспресс потенциал'!C82:L92,2,1)</f>
        <v>1</v>
      </c>
      <c r="O9" s="472">
        <v>20</v>
      </c>
      <c r="P9" s="469" t="s">
        <v>53</v>
      </c>
      <c r="Q9" s="469" t="s">
        <v>53</v>
      </c>
      <c r="R9" s="493">
        <f>VLOOKUP(0.9999*'0.Результаты расчета'!$B$29,ДЮСШ!$C$6:$E$55,3,1)</f>
        <v>0.233535548896758</v>
      </c>
      <c r="S9" s="493">
        <f>VLOOKUP(0.9999*'0.Результаты расчета'!$B$26,ДЮСШ!$C$73:$E$122,3,1)</f>
        <v>0.0364439352574103</v>
      </c>
      <c r="T9" s="494">
        <v>0.06</v>
      </c>
      <c r="U9" s="493">
        <f>VLOOKUP(0.9999*'0.Результаты расчета'!$B$28,ДЮСШ!$C$204:$E$253,3,1)</f>
        <v>0.025191914893617</v>
      </c>
      <c r="V9" s="494">
        <v>0.06</v>
      </c>
      <c r="W9" s="494">
        <v>0.06</v>
      </c>
      <c r="X9" s="493">
        <f>VLOOKUP(0.9999*'0.Результаты расчета'!$B$29,ДЮСШ!$C$6:$E$55,2,1)</f>
        <v>0.722559248161264</v>
      </c>
      <c r="Y9" s="493">
        <f>VLOOKUP(0.9999*'0.Результаты расчета'!$B$26,ДЮСШ!$C$73:$E$122,2,1)</f>
        <v>0.364439352574103</v>
      </c>
      <c r="Z9" s="469" t="s">
        <v>53</v>
      </c>
      <c r="AA9" s="493">
        <f>VLOOKUP(0.9999*'0.Результаты расчета'!$B$28,ДЮСШ!$C$204:$E$253,2,1)</f>
        <v>0.25191914893617</v>
      </c>
      <c r="AB9" s="469" t="s">
        <v>53</v>
      </c>
      <c r="AC9" s="469" t="s">
        <v>53</v>
      </c>
      <c r="AD9" s="469" t="s">
        <v>55</v>
      </c>
      <c r="AE9" s="470" t="s">
        <v>56</v>
      </c>
      <c r="AF9" s="469">
        <f>G9*'1.Общие данные по зданию'!$C$19*N9/8.078/1163/0.93</f>
        <v>6.90437334262925</v>
      </c>
      <c r="AH9" s="469">
        <f t="shared" si="0"/>
        <v>6.90437334262925</v>
      </c>
    </row>
    <row r="10" spans="2:34">
      <c r="B10" s="469" t="s">
        <v>57</v>
      </c>
      <c r="C10" s="469">
        <v>2</v>
      </c>
      <c r="D10" s="469">
        <v>18.67</v>
      </c>
      <c r="E10" s="469">
        <v>11.2</v>
      </c>
      <c r="F10" s="472">
        <v>52.73</v>
      </c>
      <c r="G10" s="472">
        <v>31.64</v>
      </c>
      <c r="H10" s="469">
        <v>0.29</v>
      </c>
      <c r="I10" s="469">
        <v>0.17</v>
      </c>
      <c r="J10" s="469">
        <v>0.78</v>
      </c>
      <c r="K10" s="469">
        <v>0.47</v>
      </c>
      <c r="L10" s="469" t="s">
        <v>53</v>
      </c>
      <c r="M10" s="469" t="s">
        <v>53</v>
      </c>
      <c r="N10" s="469">
        <f>VLOOKUP('1.Общие данные по зданию'!$C$10,'Экспресс потенциал'!C82:L92,3,1)</f>
        <v>1.05</v>
      </c>
      <c r="O10" s="472">
        <v>20</v>
      </c>
      <c r="P10" s="469" t="s">
        <v>53</v>
      </c>
      <c r="Q10" s="469" t="s">
        <v>53</v>
      </c>
      <c r="R10" s="493">
        <f>VLOOKUP(0.9999*'0.Результаты расчета'!$B$29,'Школа искусств'!$C$6:$E$55,3,1)</f>
        <v>0.33287775751412</v>
      </c>
      <c r="S10" s="493">
        <f>VLOOKUP(0.9999*'0.Результаты расчета'!$B$26,'Школа искусств'!$C$73:$E$122,3,1)</f>
        <v>0.0382705397254064</v>
      </c>
      <c r="T10" s="493" t="e">
        <f>VLOOKUP(0.9999*'0.Результаты расчета'!$B$27,'Школа искусств'!$C$138:$E$187,3,1)</f>
        <v>#VALUE!</v>
      </c>
      <c r="U10" s="493">
        <f>VLOOKUP(0.9999*'0.Результаты расчета'!$B$28,'Школа искусств'!$C$204:$E$253,3,1)</f>
        <v>0.324957359688892</v>
      </c>
      <c r="V10" s="494">
        <v>0.06</v>
      </c>
      <c r="W10" s="494">
        <v>0.06</v>
      </c>
      <c r="X10" s="493">
        <f>VLOOKUP(0.9999*'0.Результаты расчета'!$B$29,'Школа искусств'!$C$6:$E$55,2,1)</f>
        <v>0.888129595856867</v>
      </c>
      <c r="Y10" s="493">
        <f>VLOOKUP(0.9999*'0.Результаты расчета'!$B$26,'Школа искусств'!$C$73:$E$122,2,1)</f>
        <v>0.382705397254064</v>
      </c>
      <c r="Z10" s="493" t="e">
        <f>VLOOKUP(0.9999*'0.Результаты расчета'!$B$27,'Школа искусств'!$C$138:$E$187,2,1)</f>
        <v>#VALUE!</v>
      </c>
      <c r="AA10" s="493">
        <f>VLOOKUP(0.9999*'0.Результаты расчета'!$B$28,'Школа искусств'!$C$204:$E$253,2,1)</f>
        <v>0.87492893281482</v>
      </c>
      <c r="AB10" s="469" t="s">
        <v>53</v>
      </c>
      <c r="AC10" s="469" t="s">
        <v>53</v>
      </c>
      <c r="AD10" s="469" t="s">
        <v>55</v>
      </c>
      <c r="AE10" s="470" t="s">
        <v>56</v>
      </c>
      <c r="AF10" s="469">
        <f>G10*'1.Общие данные по зданию'!$C$19*N10/8.078/1163/0.93</f>
        <v>7.03826606900365</v>
      </c>
      <c r="AG10" s="469">
        <f>I10*'1.Общие данные по зданию'!$C$16*IF('1.Общие данные по зданию'!$C$6='Экспресс потенциал'!$B$6,0.032,0.059)*1000/'1.Общие данные по зданию'!$C$15/8.078/0.93</f>
        <v>0.126411606533376</v>
      </c>
      <c r="AH10" s="469">
        <f t="shared" si="0"/>
        <v>7.16467767553702</v>
      </c>
    </row>
    <row r="11" spans="2:34">
      <c r="B11" s="469" t="s">
        <v>58</v>
      </c>
      <c r="C11" s="469">
        <v>2</v>
      </c>
      <c r="D11" s="469">
        <v>17.78</v>
      </c>
      <c r="E11" s="469">
        <v>10.67</v>
      </c>
      <c r="F11" s="472">
        <v>57.08</v>
      </c>
      <c r="G11" s="472">
        <v>34.25</v>
      </c>
      <c r="H11" s="469" t="s">
        <v>53</v>
      </c>
      <c r="I11" s="469" t="s">
        <v>53</v>
      </c>
      <c r="J11" s="469">
        <v>0.72</v>
      </c>
      <c r="K11" s="469">
        <v>0.43</v>
      </c>
      <c r="L11" s="469" t="s">
        <v>53</v>
      </c>
      <c r="M11" s="469" t="s">
        <v>53</v>
      </c>
      <c r="N11" s="469">
        <f>VLOOKUP('1.Общие данные по зданию'!$C$10,'Экспресс потенциал'!C82:L92,3,1)</f>
        <v>1.05</v>
      </c>
      <c r="O11" s="472">
        <v>20</v>
      </c>
      <c r="P11" s="469" t="s">
        <v>53</v>
      </c>
      <c r="Q11" s="469" t="s">
        <v>53</v>
      </c>
      <c r="R11" s="493">
        <f>VLOOKUP(0.9999*'0.Результаты расчета'!$B$29,Муз.школа!$C$6:$E$55,3,1)</f>
        <v>0.329599477826726</v>
      </c>
      <c r="S11" s="493">
        <f>VLOOKUP(0.9999*'0.Результаты расчета'!$B$26,Муз.школа!$C$73:$E$122,3,1)</f>
        <v>0.033406887640976</v>
      </c>
      <c r="T11" s="494">
        <v>0.06</v>
      </c>
      <c r="U11" s="493">
        <f>VLOOKUP(0.9999*'0.Результаты расчета'!$B$28,Муз.школа!$C$204:$E$253,3,1)</f>
        <v>0.329517571325155</v>
      </c>
      <c r="V11" s="494">
        <v>0.06</v>
      </c>
      <c r="W11" s="494">
        <v>0.06</v>
      </c>
      <c r="X11" s="493">
        <f>VLOOKUP(0.9999*'0.Результаты расчета'!$B$29,Муз.школа!$C$6:$E$55,2,1)</f>
        <v>0.882665796377876</v>
      </c>
      <c r="Y11" s="493">
        <f>VLOOKUP(0.9999*'0.Результаты расчета'!$B$26,Муз.школа!$C$73:$E$122,2,1)</f>
        <v>0.33406887640976</v>
      </c>
      <c r="Z11" s="469" t="s">
        <v>53</v>
      </c>
      <c r="AA11" s="493">
        <f>VLOOKUP(0.9999*'0.Результаты расчета'!$B$28,Муз.школа!$C$204:$E$253,2,1)</f>
        <v>0.882529285541924</v>
      </c>
      <c r="AB11" s="469" t="s">
        <v>53</v>
      </c>
      <c r="AC11" s="469" t="s">
        <v>53</v>
      </c>
      <c r="AD11" s="469" t="s">
        <v>55</v>
      </c>
      <c r="AE11" s="470" t="s">
        <v>56</v>
      </c>
      <c r="AF11" s="469">
        <f>G11*'1.Общие данные по зданию'!$C$19*N11/8.078/1163/0.93</f>
        <v>7.61885628518884</v>
      </c>
      <c r="AH11" s="469">
        <f t="shared" si="0"/>
        <v>7.61885628518884</v>
      </c>
    </row>
    <row r="12" spans="2:34">
      <c r="B12" s="469" t="s">
        <v>59</v>
      </c>
      <c r="C12" s="469">
        <v>1</v>
      </c>
      <c r="D12" s="469">
        <v>68.55</v>
      </c>
      <c r="E12" s="469">
        <v>41.13</v>
      </c>
      <c r="F12" s="469">
        <v>48.59</v>
      </c>
      <c r="G12" s="469">
        <v>29.15</v>
      </c>
      <c r="H12" s="469">
        <v>4.32</v>
      </c>
      <c r="I12" s="469">
        <v>2.59</v>
      </c>
      <c r="J12" s="469">
        <v>7.41</v>
      </c>
      <c r="K12" s="469">
        <f>ROUND(J12*0.6,2)</f>
        <v>4.45</v>
      </c>
      <c r="L12" s="469" t="s">
        <v>53</v>
      </c>
      <c r="M12" s="469" t="s">
        <v>53</v>
      </c>
      <c r="N12" s="469">
        <f>VLOOKUP('1.Общие данные по зданию'!$C$10,'Экспресс потенциал'!C65:L76,2,1)</f>
        <v>1</v>
      </c>
      <c r="O12" s="472">
        <v>20</v>
      </c>
      <c r="P12" s="469" t="s">
        <v>53</v>
      </c>
      <c r="Q12" s="469" t="s">
        <v>53</v>
      </c>
      <c r="R12" s="493">
        <f>VLOOKUP(0.9999*'0.Результаты расчета'!$B$29,Мед.стационар!$C$6:$E$55,3,1)</f>
        <v>0.0651804613297151</v>
      </c>
      <c r="S12" s="493">
        <f>VLOOKUP(0.9999*'0.Результаты расчета'!$B$26,Мед.стационар!$C$73:$E$122,3,1)</f>
        <v>0.0674448669201521</v>
      </c>
      <c r="T12" s="493" t="e">
        <f>VLOOKUP(0.9999*'0.Результаты расчета'!$B$27,Мед.стационар!$C$138:$E$187,3,1)</f>
        <v>#VALUE!</v>
      </c>
      <c r="U12" s="493">
        <f>VLOOKUP(0.9999*'0.Результаты расчета'!$B$28,Мед.стационар!$C$204:$E$253,3,1)</f>
        <v>0</v>
      </c>
      <c r="V12" s="494">
        <v>0.06</v>
      </c>
      <c r="W12" s="494">
        <v>0.06</v>
      </c>
      <c r="X12" s="493">
        <f>VLOOKUP(0.9999*'0.Результаты расчета'!$B$29,Мед.стационар!$C$6:$E$55,2,1)</f>
        <v>0.441967435549525</v>
      </c>
      <c r="Y12" s="493">
        <f>VLOOKUP(0.9999*'0.Результаты расчета'!$B$26,Мед.стационар!$C$73:$E$122,2,1)</f>
        <v>0.44574144486692</v>
      </c>
      <c r="Z12" s="493" t="e">
        <f>VLOOKUP(0.9999*'0.Результаты расчета'!$B$27,Мед.стационар!$C$138:$E$187,2,1)</f>
        <v>#VALUE!</v>
      </c>
      <c r="AA12" s="493">
        <f>VLOOKUP(0.9999*'0.Результаты расчета'!$B$28,Мед.стационар!$C$204:$E$253,2,1)</f>
        <v>0</v>
      </c>
      <c r="AB12" s="469" t="s">
        <v>53</v>
      </c>
      <c r="AC12" s="469" t="s">
        <v>53</v>
      </c>
      <c r="AD12" s="469" t="s">
        <v>60</v>
      </c>
      <c r="AE12" s="470" t="s">
        <v>61</v>
      </c>
      <c r="AF12" s="469">
        <f>G12*'1.Общие данные по зданию'!$C$19*N12/8.078/1163/0.93</f>
        <v>6.17559014843948</v>
      </c>
      <c r="AG12" s="469">
        <f>I12*'1.Общие данные по зданию'!$C$16*IF('1.Общие данные по зданию'!$C$6='Экспресс потенциал'!$B$6,0.032,0.059)*1000/'1.Общие данные по зданию'!$C$15/8.078/0.93</f>
        <v>1.92591800542026</v>
      </c>
      <c r="AH12" s="469">
        <f t="shared" si="0"/>
        <v>8.10150815385974</v>
      </c>
    </row>
    <row r="13" spans="1:34">
      <c r="A13" s="470"/>
      <c r="B13" s="470" t="s">
        <v>62</v>
      </c>
      <c r="C13" s="469">
        <v>2</v>
      </c>
      <c r="D13" s="469">
        <v>54.51</v>
      </c>
      <c r="E13" s="469">
        <f>ROUND(D13*0.6,2)</f>
        <v>32.71</v>
      </c>
      <c r="F13" s="469">
        <v>42.59</v>
      </c>
      <c r="G13" s="469">
        <f>ROUND(F13*0.6,2)</f>
        <v>25.55</v>
      </c>
      <c r="H13" s="469">
        <v>1.73</v>
      </c>
      <c r="I13" s="469">
        <f>ROUND(H13*0.6,2)</f>
        <v>1.04</v>
      </c>
      <c r="J13" s="469">
        <v>3.81</v>
      </c>
      <c r="K13" s="469">
        <f>ROUND(J13*0.6,2)</f>
        <v>2.29</v>
      </c>
      <c r="L13" s="469" t="s">
        <v>53</v>
      </c>
      <c r="M13" s="469" t="s">
        <v>53</v>
      </c>
      <c r="N13" s="469">
        <f>VLOOKUP('1.Общие данные по зданию'!$C$10,'Экспресс потенциал'!C49:F60,3,1)</f>
        <v>1.03</v>
      </c>
      <c r="O13" s="472">
        <v>20</v>
      </c>
      <c r="P13" s="469" t="s">
        <v>53</v>
      </c>
      <c r="Q13" s="469" t="s">
        <v>53</v>
      </c>
      <c r="R13" s="493">
        <f>VLOOKUP(0.9999*'0.Результаты расчета'!$B$29,'Поликлиника,амбулаторий'!$C$6:$E$55,3,1)</f>
        <v>0.133724559023066</v>
      </c>
      <c r="S13" s="493">
        <f>VLOOKUP(0.9999*'0.Результаты расчета'!$B$26,'Поликлиника,амбулаторий'!$C$73:$E$122,3,1)</f>
        <v>0.104025096525097</v>
      </c>
      <c r="T13" s="493" t="e">
        <f>VLOOKUP(0.9999*'0.Результаты расчета'!$B$27,'Поликлиника,амбулаторий'!$C$138:$E$187,3,1)</f>
        <v>#VALUE!</v>
      </c>
      <c r="U13" s="493">
        <f>VLOOKUP(0.9999*'0.Результаты расчета'!$B$28,'Поликлиника,амбулаторий'!$C$204:$E$253,3,1)</f>
        <v>0.0331798245614035</v>
      </c>
      <c r="V13" s="494">
        <v>0.06</v>
      </c>
      <c r="W13" s="494">
        <v>0.06</v>
      </c>
      <c r="X13" s="493">
        <f>VLOOKUP(0.9999*'0.Результаты расчета'!$B$29,'Поликлиника,амбулаторий'!$C$6:$E$55,2,1)</f>
        <v>0.556207598371777</v>
      </c>
      <c r="Y13" s="493">
        <f>VLOOKUP(0.9999*'0.Результаты расчета'!$B$26,'Поликлиника,амбулаторий'!$C$73:$E$122,2,1)</f>
        <v>0.506708494208494</v>
      </c>
      <c r="Z13" s="493" t="e">
        <f>VLOOKUP(0.9999*'0.Результаты расчета'!$B$27,'Поликлиника,амбулаторий'!$C$138:$E$187,2,1)</f>
        <v>#VALUE!</v>
      </c>
      <c r="AA13" s="493">
        <f>VLOOKUP(0.9999*'0.Результаты расчета'!$B$28,'Поликлиника,амбулаторий'!$C$204:$E$253,2,1)</f>
        <v>0.331798245614035</v>
      </c>
      <c r="AB13" s="469" t="s">
        <v>53</v>
      </c>
      <c r="AC13" s="469" t="s">
        <v>53</v>
      </c>
      <c r="AD13" s="469" t="s">
        <v>60</v>
      </c>
      <c r="AE13" s="470" t="s">
        <v>61</v>
      </c>
      <c r="AF13" s="469">
        <f>G13*'1.Общие данные по зданию'!$C$19*N13/8.078/1163/0.93</f>
        <v>5.5752973633416</v>
      </c>
      <c r="AG13" s="469">
        <f>I13*'1.Общие данные по зданию'!$C$16*IF('1.Общие данные по зданию'!$C$6='Экспресс потенциал'!$B$6,0.032,0.059)*1000/'1.Общие данные по зданию'!$C$15/8.078/0.93</f>
        <v>0.773341592910066</v>
      </c>
      <c r="AH13" s="469">
        <f t="shared" si="0"/>
        <v>6.34863895625166</v>
      </c>
    </row>
    <row r="14" spans="2:34">
      <c r="B14" s="469" t="s">
        <v>63</v>
      </c>
      <c r="C14" s="469">
        <v>1</v>
      </c>
      <c r="D14" s="469">
        <v>64.43</v>
      </c>
      <c r="E14" s="469">
        <f>ROUND(D14*0.6,2)</f>
        <v>38.66</v>
      </c>
      <c r="F14" s="469">
        <v>46.78</v>
      </c>
      <c r="G14" s="469">
        <f>ROUND(F14*0.6,2)</f>
        <v>28.07</v>
      </c>
      <c r="H14" s="469" t="s">
        <v>53</v>
      </c>
      <c r="I14" s="469" t="s">
        <v>53</v>
      </c>
      <c r="J14" s="469">
        <v>7.53</v>
      </c>
      <c r="K14" s="469">
        <f>ROUND(J14*0.6,2)</f>
        <v>4.52</v>
      </c>
      <c r="L14" s="469" t="s">
        <v>53</v>
      </c>
      <c r="M14" s="469" t="s">
        <v>53</v>
      </c>
      <c r="N14" s="489">
        <f>VLOOKUP('1.Общие данные по зданию'!$C$10,'Экспресс потенциал'!C33:I44,IF('1.Общие данные по зданию'!C9="1 смена",2,3),1)</f>
        <v>1</v>
      </c>
      <c r="O14" s="472">
        <v>20</v>
      </c>
      <c r="P14" s="469" t="s">
        <v>53</v>
      </c>
      <c r="Q14" s="469" t="s">
        <v>53</v>
      </c>
      <c r="R14" s="493">
        <f>VLOOKUP(0.9999*'0.Результаты расчета'!$B$29,'Аптека,мол.кухня,ветаптека'!$C$6:$E$55,3,1)</f>
        <v>0.0891979096877931</v>
      </c>
      <c r="S14" s="493">
        <f>VLOOKUP(0.9999*'0.Результаты расчета'!$B$26,'Аптека,мол.кухня,ветаптека'!$C$73:$E$122,3,1)</f>
        <v>0.0743520881670533</v>
      </c>
      <c r="T14" s="494">
        <v>0.06</v>
      </c>
      <c r="U14" s="493">
        <f>VLOOKUP(0.9999*'0.Результаты расчета'!$B$28,'Аптека,мол.кухня,ветаптека'!$C$204:$E$253,3,1)</f>
        <v>0</v>
      </c>
      <c r="V14" s="494">
        <v>0.06</v>
      </c>
      <c r="W14" s="494">
        <v>0.06</v>
      </c>
      <c r="X14" s="493">
        <f>VLOOKUP(0.9999*'0.Результаты расчета'!$B$29,'Аптека,мол.кухня,ветаптека'!$C$6:$E$55,2,1)</f>
        <v>0.481996516146322</v>
      </c>
      <c r="Y14" s="493">
        <f>VLOOKUP(0.9999*'0.Результаты расчета'!$B$26,'Аптека,мол.кухня,ветаптека'!$C$73:$E$122,2,1)</f>
        <v>0.457253480278422</v>
      </c>
      <c r="Z14" s="469" t="s">
        <v>53</v>
      </c>
      <c r="AA14" s="493">
        <f>VLOOKUP(0.9999*'0.Результаты расчета'!$B$28,'Аптека,мол.кухня,ветаптека'!$C$204:$E$253,2,1)</f>
        <v>0</v>
      </c>
      <c r="AB14" s="493" t="e">
        <f>VLOOKUP(0.9999*'0.Результаты расчета'!$B$30,'Аптека,мол.кухня,ветаптека'!$C$270:$E$319,2,1)</f>
        <v>#VALUE!</v>
      </c>
      <c r="AC14" s="469" t="s">
        <v>53</v>
      </c>
      <c r="AD14" s="469" t="s">
        <v>49</v>
      </c>
      <c r="AE14" s="469" t="s">
        <v>50</v>
      </c>
      <c r="AF14" s="469">
        <f>G14*'1.Общие данные по зданию'!$C$19*N14/8.078/1163/0.93</f>
        <v>5.94678612235664</v>
      </c>
      <c r="AH14" s="469">
        <f t="shared" si="0"/>
        <v>5.94678612235664</v>
      </c>
    </row>
    <row r="15" spans="1:34">
      <c r="A15" s="470"/>
      <c r="B15" s="470" t="s">
        <v>64</v>
      </c>
      <c r="C15" s="469">
        <v>1</v>
      </c>
      <c r="D15" s="469">
        <v>63.6</v>
      </c>
      <c r="E15" s="469">
        <f>ROUND(D15*0.6,2)</f>
        <v>38.16</v>
      </c>
      <c r="F15" s="469">
        <v>52.37</v>
      </c>
      <c r="G15" s="469">
        <f>ROUND(F15*0.6,2)</f>
        <v>31.42</v>
      </c>
      <c r="H15" s="469">
        <v>3.37</v>
      </c>
      <c r="I15" s="469">
        <v>2.02</v>
      </c>
      <c r="J15" s="469">
        <v>6.9</v>
      </c>
      <c r="K15" s="469">
        <f>ROUND(J15*0.6,2)</f>
        <v>4.14</v>
      </c>
      <c r="L15" s="469">
        <v>0.34</v>
      </c>
      <c r="M15" s="469">
        <f>L15*0.6</f>
        <v>0.204</v>
      </c>
      <c r="N15" s="489">
        <f>VLOOKUP('1.Общие данные по зданию'!$C$10,'Экспресс потенциал'!C65:F76,2,1)</f>
        <v>1</v>
      </c>
      <c r="O15" s="472">
        <v>20</v>
      </c>
      <c r="P15" s="469" t="s">
        <v>53</v>
      </c>
      <c r="Q15" s="469" t="s">
        <v>53</v>
      </c>
      <c r="R15" s="493">
        <f>VLOOKUP(0.9999*'0.Результаты расчета'!$B$29,Больница!$C$6:$E$55,3,1)</f>
        <v>0.0981950962298971</v>
      </c>
      <c r="S15" s="493">
        <f>VLOOKUP(0.9999*'0.Результаты расчета'!$B$26,Больница!$C$73:$E$122,3,1)</f>
        <v>0.0403073840870063</v>
      </c>
      <c r="T15" s="493" t="e">
        <f>VLOOKUP(0.9999*'0.Результаты расчета'!$B$27,Больница!$C$138:$E$187,3,1)</f>
        <v>#VALUE!</v>
      </c>
      <c r="U15" s="493">
        <f>VLOOKUP(0.9999*'0.Результаты расчета'!$B$28,Больница!$C$204:$E$253,3,1)</f>
        <v>0</v>
      </c>
      <c r="V15" s="493" t="e">
        <f>VLOOKUP(0.9999*'0.Результаты расчета'!$B$30,Больница!$C$270:$E$319,3,1)</f>
        <v>#VALUE!</v>
      </c>
      <c r="W15" s="494">
        <v>0.06</v>
      </c>
      <c r="X15" s="493">
        <f>VLOOKUP(0.9999*'0.Результаты расчета'!$B$29,Больница!$C$6:$E$55,2,1)</f>
        <v>0.496991827049829</v>
      </c>
      <c r="Y15" s="493">
        <f>VLOOKUP(0.9999*'0.Результаты расчета'!$B$26,Больница!$C$73:$E$122,2,1)</f>
        <v>0.400512306811677</v>
      </c>
      <c r="Z15" s="493" t="e">
        <f>VLOOKUP(0.9999*'0.Результаты расчета'!$B$27,Больница!$C$138:$E$187,2,1)</f>
        <v>#VALUE!</v>
      </c>
      <c r="AA15" s="493">
        <f>VLOOKUP(0.9999*'0.Результаты расчета'!$B$28,Больница!$C$204:$E$253,2,1)</f>
        <v>0</v>
      </c>
      <c r="AB15" s="493" t="e">
        <f>VLOOKUP(0.9999*'0.Результаты расчета'!$B$30,Больница!$C$270:$E$319,2,1)</f>
        <v>#VALUE!</v>
      </c>
      <c r="AC15" s="469" t="s">
        <v>53</v>
      </c>
      <c r="AD15" s="469" t="s">
        <v>65</v>
      </c>
      <c r="AE15" s="470" t="s">
        <v>66</v>
      </c>
      <c r="AF15" s="469">
        <f>G15*'1.Общие данные по зданию'!$C$19*N15/8.078/1163/0.93</f>
        <v>6.65650231437285</v>
      </c>
      <c r="AG15" s="469">
        <f>I15*'1.Общие данные по зданию'!$C$16*IF('1.Общие данные по зданию'!$C$6='Экспресс потенциал'!$B$6,0.032,0.059)*1000/'1.Общие данные по зданию'!$C$15/8.078/0.93</f>
        <v>1.5020673246907</v>
      </c>
      <c r="AH15" s="469">
        <f t="shared" si="0"/>
        <v>8.15856963906355</v>
      </c>
    </row>
    <row r="16" spans="1:34">
      <c r="A16" s="470"/>
      <c r="B16" s="470" t="s">
        <v>67</v>
      </c>
      <c r="C16" s="469">
        <v>1</v>
      </c>
      <c r="D16" s="469">
        <v>6.22</v>
      </c>
      <c r="E16" s="469">
        <v>3.73</v>
      </c>
      <c r="F16" s="469" t="s">
        <v>68</v>
      </c>
      <c r="G16" s="469" t="s">
        <v>68</v>
      </c>
      <c r="H16" s="469" t="s">
        <v>53</v>
      </c>
      <c r="I16" s="469" t="s">
        <v>53</v>
      </c>
      <c r="J16" s="469">
        <v>1.45</v>
      </c>
      <c r="K16" s="469">
        <v>0.87</v>
      </c>
      <c r="L16" s="469" t="s">
        <v>53</v>
      </c>
      <c r="M16" s="469" t="s">
        <v>53</v>
      </c>
      <c r="N16" s="489">
        <f>VLOOKUP('1.Общие данные по зданию'!$C$10,'Экспресс потенциал'!C49:F60,2,1)</f>
        <v>1</v>
      </c>
      <c r="O16" s="472">
        <v>20</v>
      </c>
      <c r="P16" s="469" t="s">
        <v>53</v>
      </c>
      <c r="Q16" s="469" t="s">
        <v>53</v>
      </c>
      <c r="R16" s="493">
        <f>VLOOKUP(0.9999*'0.Результаты расчета'!$B$29,ФАП!$C$6:$E$55,3,1)</f>
        <v>0.372481759166941</v>
      </c>
      <c r="S16" s="494">
        <v>0.06</v>
      </c>
      <c r="T16" s="494">
        <v>0.06</v>
      </c>
      <c r="U16" s="493">
        <f>VLOOKUP(0.9999*'0.Результаты расчета'!$B$28,ФАП!$C$204:$E$253,3,1)</f>
        <v>0.257508528034194</v>
      </c>
      <c r="V16" s="494">
        <v>0.06</v>
      </c>
      <c r="W16" s="494">
        <v>0.06</v>
      </c>
      <c r="X16" s="493">
        <f>VLOOKUP(0.9999*'0.Результаты расчета'!$B$29,ФАП!$C$6:$E$55,2,1)</f>
        <v>0.954136265278234</v>
      </c>
      <c r="Y16" s="469" t="s">
        <v>53</v>
      </c>
      <c r="Z16" s="469" t="s">
        <v>53</v>
      </c>
      <c r="AA16" s="493">
        <f>VLOOKUP(0.9999*'0.Результаты расчета'!$B$28,ФАП!$C$204:$E$253,2,1)</f>
        <v>0.762514213390324</v>
      </c>
      <c r="AB16" s="469" t="s">
        <v>53</v>
      </c>
      <c r="AC16" s="469" t="s">
        <v>53</v>
      </c>
      <c r="AD16" s="469" t="s">
        <v>49</v>
      </c>
      <c r="AE16" s="469" t="s">
        <v>50</v>
      </c>
      <c r="AF16" s="469">
        <f>G13*'1.Общие данные по зданию'!$C$19*N16/8.078/1163/0.93</f>
        <v>5.4129100614967</v>
      </c>
      <c r="AH16" s="469">
        <f t="shared" si="0"/>
        <v>5.4129100614967</v>
      </c>
    </row>
    <row r="17" spans="1:34">
      <c r="A17" s="470"/>
      <c r="B17" s="470" t="s">
        <v>69</v>
      </c>
      <c r="C17" s="469">
        <v>1</v>
      </c>
      <c r="D17" s="469">
        <v>41.79</v>
      </c>
      <c r="E17" s="469">
        <f t="shared" ref="E17:E26" si="1">ROUND(D17*0.6,2)</f>
        <v>25.07</v>
      </c>
      <c r="F17" s="469">
        <v>59.43</v>
      </c>
      <c r="G17" s="469">
        <f t="shared" ref="G17:G26" si="2">ROUND(F17*0.6,2)</f>
        <v>35.66</v>
      </c>
      <c r="H17" s="469" t="s">
        <v>53</v>
      </c>
      <c r="I17" s="469" t="s">
        <v>53</v>
      </c>
      <c r="J17" s="469">
        <v>2.18</v>
      </c>
      <c r="K17" s="469">
        <f t="shared" ref="K17:K26" si="3">ROUND(J17*0.6,2)</f>
        <v>1.31</v>
      </c>
      <c r="L17" s="469" t="s">
        <v>53</v>
      </c>
      <c r="M17" s="469" t="s">
        <v>53</v>
      </c>
      <c r="N17" s="489">
        <f>VLOOKUP('1.Общие данные по зданию'!$C$10,'Экспресс потенциал'!C82:L92,5,1)</f>
        <v>1</v>
      </c>
      <c r="O17" s="472">
        <v>18</v>
      </c>
      <c r="P17" s="469" t="s">
        <v>53</v>
      </c>
      <c r="Q17" s="469" t="s">
        <v>53</v>
      </c>
      <c r="R17" s="495">
        <f>VLOOKUP(0.9999*'0.Результаты расчета'!$B$29,'Откр.спорт.сооруж-е'!$C$6:$E$55,3,1)</f>
        <v>0.195494698205547</v>
      </c>
      <c r="S17" s="495">
        <f>VLOOKUP(0.9999*'0.Результаты расчета'!$B$26,'Откр.спорт.сооруж-е'!$C$73:$E$122,3,1)</f>
        <v>0.0307351398601399</v>
      </c>
      <c r="T17" s="494">
        <v>0.06</v>
      </c>
      <c r="U17" s="495">
        <f>VLOOKUP(0.9999*'0.Результаты расчета'!$B$28,'Откр.спорт.сооруж-е'!$C$204:$E$253,3,1)</f>
        <v>0</v>
      </c>
      <c r="V17" s="494">
        <v>0.06</v>
      </c>
      <c r="W17" s="494">
        <v>0.06</v>
      </c>
      <c r="X17" s="495">
        <f>VLOOKUP(0.9999*'0.Результаты расчета'!$B$29,'Откр.спорт.сооруж-е'!$C$6:$E$55,2,1)</f>
        <v>0.659157830342577</v>
      </c>
      <c r="Y17" s="495">
        <f>VLOOKUP(0.9999*'0.Результаты расчета'!$B$26,'Откр.спорт.сооруж-е'!$C$73:$E$122,2,1)</f>
        <v>0.307351398601399</v>
      </c>
      <c r="Z17" s="495" t="e">
        <f>VLOOKUP(0.9999*'0.Результаты расчета'!$B$27,'Откр.спорт.сооруж-е'!$C$138:$E$187,2,1)</f>
        <v>#VALUE!</v>
      </c>
      <c r="AA17" s="495">
        <f>VLOOKUP(0.9999*'0.Результаты расчета'!$B$28,'Откр.спорт.сооруж-е'!$C$204:$E$253,2,1)</f>
        <v>0</v>
      </c>
      <c r="AB17" s="469" t="s">
        <v>53</v>
      </c>
      <c r="AC17" s="469" t="s">
        <v>53</v>
      </c>
      <c r="AD17" s="469" t="s">
        <v>55</v>
      </c>
      <c r="AE17" s="470" t="s">
        <v>56</v>
      </c>
      <c r="AF17" s="469">
        <f>G17*'1.Общие данные по зданию'!$C$19*N17/8.078/1163/0.93</f>
        <v>7.55476997232768</v>
      </c>
      <c r="AH17" s="469">
        <f t="shared" si="0"/>
        <v>7.55476997232768</v>
      </c>
    </row>
    <row r="18" spans="1:34">
      <c r="A18" s="470"/>
      <c r="B18" s="470" t="s">
        <v>70</v>
      </c>
      <c r="C18" s="469">
        <v>2</v>
      </c>
      <c r="D18" s="469">
        <v>30.3</v>
      </c>
      <c r="E18" s="469">
        <f t="shared" si="1"/>
        <v>18.18</v>
      </c>
      <c r="F18" s="469">
        <v>55.49</v>
      </c>
      <c r="G18" s="469">
        <f t="shared" si="2"/>
        <v>33.29</v>
      </c>
      <c r="H18" s="469">
        <v>1.04</v>
      </c>
      <c r="I18" s="469">
        <v>0.62</v>
      </c>
      <c r="J18" s="469">
        <v>1.66</v>
      </c>
      <c r="K18" s="469">
        <f t="shared" si="3"/>
        <v>1</v>
      </c>
      <c r="L18" s="469" t="s">
        <v>53</v>
      </c>
      <c r="M18" s="469" t="s">
        <v>53</v>
      </c>
      <c r="N18" s="489">
        <f>VLOOKUP('1.Общие данные по зданию'!$C$10,'Экспресс потенциал'!C82:L92,6,1)</f>
        <v>1.04</v>
      </c>
      <c r="O18" s="472">
        <v>18</v>
      </c>
      <c r="P18" s="469" t="s">
        <v>53</v>
      </c>
      <c r="Q18" s="469" t="s">
        <v>53</v>
      </c>
      <c r="R18" s="495">
        <f>VLOOKUP(0.9999*'0.Результаты расчета'!$B$29,'Крыт.спорт.сооруж-е'!$C$6:$E$55,3,1)</f>
        <v>0.251091020910209</v>
      </c>
      <c r="S18" s="495">
        <f>VLOOKUP(0.9999*'0.Результаты расчета'!$B$26,'Крыт.спорт.сооруж-е'!$C$73:$E$122,3,1)</f>
        <v>0.0365511720983419</v>
      </c>
      <c r="T18" s="495" t="e">
        <f>VLOOKUP(0.9999*'0.Результаты расчета'!$B$27,'Крыт.спорт.сооруж-е'!$C$138:$E$187,3,1)</f>
        <v>#VALUE!</v>
      </c>
      <c r="U18" s="495">
        <f>VLOOKUP(0.9999*'0.Результаты расчета'!$B$28,'Крыт.спорт.сооруж-е'!$C$204:$E$253,3,1)</f>
        <v>0.223823008849558</v>
      </c>
      <c r="V18" s="494">
        <v>0.06</v>
      </c>
      <c r="W18" s="494">
        <v>0.06</v>
      </c>
      <c r="X18" s="495">
        <f>VLOOKUP(0.9999*'0.Результаты расчета'!$B$29,'Крыт.спорт.сооруж-е'!$C$6:$E$55,2,1)</f>
        <v>0.751818368183682</v>
      </c>
      <c r="Y18" s="495">
        <f>VLOOKUP(0.9999*'0.Результаты расчета'!$B$26,'Крыт.спорт.сооруж-е'!$C$73:$E$122,2,1)</f>
        <v>0.365511720983419</v>
      </c>
      <c r="Z18" s="495" t="e">
        <f>VLOOKUP(0.9999*'0.Результаты расчета'!$B$27,'Крыт.спорт.сооруж-е'!$C$138:$E$187,2,1)</f>
        <v>#VALUE!</v>
      </c>
      <c r="AA18" s="495">
        <f>VLOOKUP(0.9999*'0.Результаты расчета'!$B$28,'Крыт.спорт.сооруж-е'!$C$204:$E$253,2,1)</f>
        <v>0.706371681415929</v>
      </c>
      <c r="AB18" s="469" t="s">
        <v>53</v>
      </c>
      <c r="AC18" s="469" t="s">
        <v>53</v>
      </c>
      <c r="AD18" s="469" t="s">
        <v>55</v>
      </c>
      <c r="AE18" s="470" t="s">
        <v>56</v>
      </c>
      <c r="AF18" s="469">
        <f>G18*'1.Общие данные по зданию'!$C$19*N18/8.078/1163/0.93</f>
        <v>7.33477913836063</v>
      </c>
      <c r="AG18" s="469">
        <f>I18*'1.Общие данные по зданию'!$C$16*IF('1.Общие данные по зданию'!$C$6='Экспресс потенциал'!$B$6,0.032,0.059)*1000/'1.Общие данные по зданию'!$C$15/8.078/0.93</f>
        <v>0.461030565004077</v>
      </c>
      <c r="AH18" s="469">
        <f t="shared" si="0"/>
        <v>7.7958097033647</v>
      </c>
    </row>
    <row r="19" s="468" customFormat="1" spans="2:34">
      <c r="B19" s="468" t="s">
        <v>71</v>
      </c>
      <c r="C19" s="468">
        <v>2</v>
      </c>
      <c r="D19" s="468">
        <v>98.7</v>
      </c>
      <c r="E19" s="468">
        <f t="shared" si="1"/>
        <v>59.22</v>
      </c>
      <c r="F19" s="468">
        <v>82.05</v>
      </c>
      <c r="G19" s="468">
        <f t="shared" si="2"/>
        <v>49.23</v>
      </c>
      <c r="H19" s="468" t="s">
        <v>53</v>
      </c>
      <c r="I19" s="468" t="s">
        <v>53</v>
      </c>
      <c r="J19" s="468">
        <v>9.54</v>
      </c>
      <c r="K19" s="468">
        <f t="shared" si="3"/>
        <v>5.72</v>
      </c>
      <c r="L19" s="468" t="s">
        <v>53</v>
      </c>
      <c r="M19" s="468" t="s">
        <v>53</v>
      </c>
      <c r="N19" s="490">
        <f>VLOOKUP('1.Общие данные по зданию'!$C$10,'Экспресс потенциал'!C82:L92,3,1)</f>
        <v>1.05</v>
      </c>
      <c r="O19" s="468">
        <v>24</v>
      </c>
      <c r="P19" s="468" t="s">
        <v>53</v>
      </c>
      <c r="Q19" s="468" t="s">
        <v>53</v>
      </c>
      <c r="R19" s="496">
        <f>VLOOKUP(0.9999*'0.Результаты расчета'!$B$29,Бассейны!$C$6:$E$55,3,1)</f>
        <v>0.0182535201546107</v>
      </c>
      <c r="S19" s="496">
        <f>VLOOKUP(0.9999*'0.Результаты расчета'!$B$26,Бассейны!$C$73:$E$122,3,1)</f>
        <v>0</v>
      </c>
      <c r="T19" s="496">
        <v>0.06</v>
      </c>
      <c r="U19" s="497">
        <f>VLOOKUP(0.9999*'0.Результаты расчета'!$B$28,Бассейны!$C$138:$E$187,3,1)</f>
        <v>0</v>
      </c>
      <c r="V19" s="496">
        <v>0.06</v>
      </c>
      <c r="W19" s="496">
        <v>0.06</v>
      </c>
      <c r="X19" s="496">
        <f>VLOOKUP(0.9999*'0.Результаты расчета'!$B$29,Бассейны!$C$6:$E$55,2,1)</f>
        <v>0.182535201546107</v>
      </c>
      <c r="Y19" s="496">
        <f>VLOOKUP(0.9999*'0.Результаты расчета'!$B$26,Бассейны!$C$73:$E$122,2,1)</f>
        <v>0.0397337624341721</v>
      </c>
      <c r="Z19" s="468" t="s">
        <v>53</v>
      </c>
      <c r="AA19" s="497">
        <f>VLOOKUP(0.9999*'0.Результаты расчета'!$B$28,Бассейны!$C$138:$E$187,2,1)</f>
        <v>0</v>
      </c>
      <c r="AB19" s="468" t="s">
        <v>53</v>
      </c>
      <c r="AC19" s="468" t="s">
        <v>53</v>
      </c>
      <c r="AD19" s="468" t="s">
        <v>55</v>
      </c>
      <c r="AE19" s="498" t="s">
        <v>56</v>
      </c>
      <c r="AF19" s="468">
        <f>G19*'1.Общие данные по зданию'!$C$19*N19/8.078/1163/0.93</f>
        <v>10.9511326983897</v>
      </c>
      <c r="AH19" s="468">
        <f t="shared" si="0"/>
        <v>10.9511326983897</v>
      </c>
    </row>
    <row r="20" spans="2:34">
      <c r="B20" s="469" t="s">
        <v>72</v>
      </c>
      <c r="C20" s="469">
        <v>1</v>
      </c>
      <c r="D20" s="469">
        <v>20.2</v>
      </c>
      <c r="E20" s="469">
        <f t="shared" si="1"/>
        <v>12.12</v>
      </c>
      <c r="F20" s="469">
        <v>48.7</v>
      </c>
      <c r="G20" s="469">
        <f t="shared" si="2"/>
        <v>29.22</v>
      </c>
      <c r="H20" s="469">
        <v>2.51</v>
      </c>
      <c r="I20" s="469">
        <v>1.51</v>
      </c>
      <c r="J20" s="469">
        <v>6.9</v>
      </c>
      <c r="K20" s="469">
        <f t="shared" si="3"/>
        <v>4.14</v>
      </c>
      <c r="L20" s="469" t="s">
        <v>53</v>
      </c>
      <c r="M20" s="469" t="s">
        <v>53</v>
      </c>
      <c r="N20" s="489">
        <f>VLOOKUP('1.Общие данные по зданию'!$C$10,'Экспресс потенциал'!C33:I44,IF('1.Общие данные по зданию'!C9="1 смена",2,3),1)</f>
        <v>1</v>
      </c>
      <c r="O20" s="472">
        <v>20</v>
      </c>
      <c r="P20" s="469" t="s">
        <v>53</v>
      </c>
      <c r="Q20" s="469" t="s">
        <v>53</v>
      </c>
      <c r="R20" s="493">
        <f>VLOOKUP(0.9999*'0.Результаты расчета'!$B$29,Библиотеки!$C$6:$E$55,3,1)</f>
        <v>0.331650704225352</v>
      </c>
      <c r="S20" s="493">
        <f>VLOOKUP(0.9999*'0.Результаты расчета'!$B$26,Библиотеки!$C$73:$E$122,3,1)</f>
        <v>0.0575957031250001</v>
      </c>
      <c r="T20" s="493" t="e">
        <f>VLOOKUP(0.9999*'0.Результаты расчета'!$B$27,Библиотеки!$C$138:$E$187,3,1)</f>
        <v>#VALUE!</v>
      </c>
      <c r="U20" s="493">
        <f>VLOOKUP(0.9999*'0.Результаты расчета'!$B$28,Библиотеки!$C$204:$E$253,3,1)</f>
        <v>0</v>
      </c>
      <c r="V20" s="494">
        <v>0.06</v>
      </c>
      <c r="W20" s="494">
        <v>0.06</v>
      </c>
      <c r="X20" s="493">
        <f>VLOOKUP(0.9999*'0.Результаты расчета'!$B$29,Библиотеки!$C$6:$E$55,2,1)</f>
        <v>0.886084507042253</v>
      </c>
      <c r="Y20" s="493">
        <f>VLOOKUP(0.9999*'0.Результаты расчета'!$B$26,Библиотеки!$C$73:$E$122,2,1)</f>
        <v>0.429326171875</v>
      </c>
      <c r="Z20" s="493" t="e">
        <f>VLOOKUP(0.9999*'0.Результаты расчета'!$B$27,Библиотеки!$C$138:$E$187,2,1)</f>
        <v>#VALUE!</v>
      </c>
      <c r="AA20" s="493">
        <f>VLOOKUP(0.9999*'0.Результаты расчета'!$B$28,Библиотеки!$C$204:$E$253,2,1)</f>
        <v>0</v>
      </c>
      <c r="AB20" s="469" t="s">
        <v>53</v>
      </c>
      <c r="AC20" s="469" t="s">
        <v>53</v>
      </c>
      <c r="AD20" s="469" t="s">
        <v>49</v>
      </c>
      <c r="AE20" s="469" t="s">
        <v>50</v>
      </c>
      <c r="AF20" s="469">
        <f>G20*'1.Общие данные по зданию'!$C$19*N20/8.078/1163/0.93</f>
        <v>6.19042003901892</v>
      </c>
      <c r="AG20" s="469">
        <f>I20*'1.Общие данные по зданию'!$C$16*IF('1.Общие данные по зданию'!$C$6='Экспресс потенциал'!$B$6,0.032,0.059)*1000/'1.Общие данные по зданию'!$C$15/8.078/0.93</f>
        <v>1.12283250509058</v>
      </c>
      <c r="AH20" s="469">
        <f t="shared" si="0"/>
        <v>7.3132525441095</v>
      </c>
    </row>
    <row r="21" spans="2:34">
      <c r="B21" s="469" t="s">
        <v>73</v>
      </c>
      <c r="C21" s="469">
        <v>2</v>
      </c>
      <c r="D21" s="469">
        <v>31.34</v>
      </c>
      <c r="E21" s="469">
        <f t="shared" si="1"/>
        <v>18.8</v>
      </c>
      <c r="F21" s="469">
        <v>48.78</v>
      </c>
      <c r="G21" s="469">
        <f t="shared" si="2"/>
        <v>29.27</v>
      </c>
      <c r="H21" s="469" t="s">
        <v>53</v>
      </c>
      <c r="I21" s="469" t="s">
        <v>53</v>
      </c>
      <c r="J21" s="469">
        <v>0.28</v>
      </c>
      <c r="K21" s="469">
        <f t="shared" si="3"/>
        <v>0.17</v>
      </c>
      <c r="L21" s="469" t="s">
        <v>53</v>
      </c>
      <c r="M21" s="469" t="s">
        <v>53</v>
      </c>
      <c r="N21" s="489">
        <f>VLOOKUP('1.Общие данные по зданию'!$C$10,'Экспресс потенциал'!C82:L92,3,1)</f>
        <v>1.05</v>
      </c>
      <c r="O21" s="472">
        <v>20</v>
      </c>
      <c r="P21" s="469" t="s">
        <v>53</v>
      </c>
      <c r="Q21" s="469" t="s">
        <v>53</v>
      </c>
      <c r="R21" s="493">
        <f>VLOOKUP(0.9999*'0.Результаты расчета'!$B$29,Музеи!$C$6:$E$55,3,1)</f>
        <v>0.25309375</v>
      </c>
      <c r="S21" s="493">
        <f>VLOOKUP(0.9999*'0.Результаты расчета'!$B$26,Музеи!$C$73:$E$122,3,1)</f>
        <v>0.0616242774566474</v>
      </c>
      <c r="T21" s="494">
        <v>0.06</v>
      </c>
      <c r="U21" s="493">
        <f>VLOOKUP(0.9999*'0.Результаты расчета'!$B$28,Музеи!$C$204:$E$253,3,1)</f>
        <v>0.374386923076923</v>
      </c>
      <c r="V21" s="494">
        <v>0.06</v>
      </c>
      <c r="W21" s="494">
        <v>0.06</v>
      </c>
      <c r="X21" s="493">
        <f>VLOOKUP(0.9999*'0.Результаты расчета'!$B$29,Музеи!$C$6:$E$55,2,1)</f>
        <v>0.75515625</v>
      </c>
      <c r="Y21" s="493">
        <f>VLOOKUP(0.9999*'0.Результаты расчета'!$B$26,Музеи!$C$73:$E$122,2,1)</f>
        <v>0.436040462427746</v>
      </c>
      <c r="Z21" s="469" t="s">
        <v>53</v>
      </c>
      <c r="AA21" s="493">
        <f>VLOOKUP(0.9999*'0.Результаты расчета'!$B$28,Музеи!$C$204:$E$253,2,1)</f>
        <v>0.957311538461538</v>
      </c>
      <c r="AB21" s="469" t="s">
        <v>53</v>
      </c>
      <c r="AC21" s="469" t="s">
        <v>53</v>
      </c>
      <c r="AD21" s="469" t="s">
        <v>55</v>
      </c>
      <c r="AE21" s="470" t="s">
        <v>56</v>
      </c>
      <c r="AF21" s="469">
        <f>G21*'1.Общие данные по зданию'!$C$19*N21/8.078/1163/0.93</f>
        <v>6.51106345890445</v>
      </c>
      <c r="AH21" s="469">
        <f t="shared" si="0"/>
        <v>6.51106345890445</v>
      </c>
    </row>
    <row r="22" spans="2:34">
      <c r="B22" s="469" t="s">
        <v>74</v>
      </c>
      <c r="C22" s="469">
        <v>2</v>
      </c>
      <c r="D22" s="469">
        <v>43.72</v>
      </c>
      <c r="E22" s="469">
        <f t="shared" si="1"/>
        <v>26.23</v>
      </c>
      <c r="F22" s="469">
        <v>43.15</v>
      </c>
      <c r="G22" s="469">
        <f t="shared" si="2"/>
        <v>25.89</v>
      </c>
      <c r="H22" s="469" t="s">
        <v>53</v>
      </c>
      <c r="I22" s="469" t="s">
        <v>53</v>
      </c>
      <c r="J22" s="469">
        <v>0.84</v>
      </c>
      <c r="K22" s="469">
        <f t="shared" si="3"/>
        <v>0.5</v>
      </c>
      <c r="L22" s="469" t="s">
        <v>53</v>
      </c>
      <c r="M22" s="469" t="s">
        <v>53</v>
      </c>
      <c r="N22" s="489">
        <f>VLOOKUP('1.Общие данные по зданию'!$C$10,'Экспресс потенциал'!C82:L92,3,1)</f>
        <v>1.05</v>
      </c>
      <c r="O22" s="472">
        <v>20</v>
      </c>
      <c r="P22" s="469" t="s">
        <v>53</v>
      </c>
      <c r="Q22" s="469" t="s">
        <v>53</v>
      </c>
      <c r="R22" s="493">
        <f>VLOOKUP(0.9999*'0.Результаты расчета'!$B$29,'Театры, кинотеатры'!$C$6:$E$55,3,1)</f>
        <v>0.183529573590096</v>
      </c>
      <c r="S22" s="493">
        <f>VLOOKUP(0.9999*'0.Результаты расчета'!$B$26,'Театры, кинотеатры'!$C$73:$E$122,3,1)</f>
        <v>0.103583969465649</v>
      </c>
      <c r="T22" s="494">
        <v>0.06</v>
      </c>
      <c r="U22" s="493">
        <f>VLOOKUP(0.9999*'0.Результаты расчета'!$B$28,'Театры, кинотеатры'!$C$204:$E$253,3,1)</f>
        <v>0.3163825</v>
      </c>
      <c r="V22" s="494">
        <v>0.06</v>
      </c>
      <c r="W22" s="494">
        <v>0.06</v>
      </c>
      <c r="X22" s="493">
        <f>VLOOKUP(0.9999*'0.Результаты расчета'!$B$29,'Театры, кинотеатры'!$C$6:$E$55,2,1)</f>
        <v>0.639215955983494</v>
      </c>
      <c r="Y22" s="493">
        <f>VLOOKUP(0.9999*'0.Результаты расчета'!$B$26,'Театры, кинотеатры'!$C$73:$E$122,2,1)</f>
        <v>0.505973282442748</v>
      </c>
      <c r="Z22" s="469" t="s">
        <v>53</v>
      </c>
      <c r="AA22" s="493">
        <f>VLOOKUP(0.9999*'0.Результаты расчета'!$B$28,'Театры, кинотеатры'!$C$204:$E$253,2,1)</f>
        <v>0.8606375</v>
      </c>
      <c r="AB22" s="469" t="s">
        <v>53</v>
      </c>
      <c r="AC22" s="469" t="s">
        <v>53</v>
      </c>
      <c r="AD22" s="469" t="s">
        <v>55</v>
      </c>
      <c r="AE22" s="470" t="s">
        <v>56</v>
      </c>
      <c r="AF22" s="469">
        <f>G22*'1.Общие данные по зданию'!$C$19*N22/8.078/1163/0.93</f>
        <v>5.75918800652669</v>
      </c>
      <c r="AH22" s="469">
        <f t="shared" si="0"/>
        <v>5.75918800652669</v>
      </c>
    </row>
    <row r="23" spans="1:34">
      <c r="A23" s="470"/>
      <c r="B23" s="470" t="s">
        <v>75</v>
      </c>
      <c r="C23" s="469">
        <v>2</v>
      </c>
      <c r="D23" s="469">
        <v>15.43</v>
      </c>
      <c r="E23" s="469">
        <f t="shared" si="1"/>
        <v>9.26</v>
      </c>
      <c r="F23" s="469">
        <v>51.01</v>
      </c>
      <c r="G23" s="469">
        <f t="shared" si="2"/>
        <v>30.61</v>
      </c>
      <c r="H23" s="469">
        <v>0.19</v>
      </c>
      <c r="I23" s="469">
        <v>0.11</v>
      </c>
      <c r="J23" s="469">
        <v>1.37</v>
      </c>
      <c r="K23" s="469">
        <f t="shared" si="3"/>
        <v>0.82</v>
      </c>
      <c r="L23" s="469">
        <v>31.33</v>
      </c>
      <c r="M23" s="469">
        <f t="shared" ref="M23:M25" si="4">L23*0.6</f>
        <v>18.798</v>
      </c>
      <c r="N23" s="489">
        <f>VLOOKUP('1.Общие данные по зданию'!$C$10,'Экспресс потенциал'!C82:L92,3,1)</f>
        <v>1.05</v>
      </c>
      <c r="O23" s="472">
        <v>20</v>
      </c>
      <c r="P23" s="472">
        <v>88.82</v>
      </c>
      <c r="Q23" s="472">
        <f>0.6*P23</f>
        <v>53.292</v>
      </c>
      <c r="R23" s="493">
        <f>VLOOKUP(0.9999*'0.Результаты расчета'!$B$29,Клуб!$C$6:$E$55,3,1)</f>
        <v>0.340418454935622</v>
      </c>
      <c r="S23" s="493">
        <f>VLOOKUP(0.9999*'0.Результаты расчета'!$B$26,Клуб!$C$73:$E$122,3,1)</f>
        <v>0.0413710937500001</v>
      </c>
      <c r="T23" s="493" t="e">
        <f>VLOOKUP(0.9999*'0.Результаты расчета'!$B$27,Клуб!$C$138:$E$187,3,1)</f>
        <v>#VALUE!</v>
      </c>
      <c r="U23" s="493">
        <f>VLOOKUP(0.9999*'0.Результаты расчета'!$B$28,Клуб!$C$204:$E$253,3,1)</f>
        <v>0.2626</v>
      </c>
      <c r="V23" s="493" t="e">
        <f>VLOOKUP(0.9999*'0.Результаты расчета'!$B$30,Клуб!$C$270:$E$319,3,1)</f>
        <v>#VALUE!</v>
      </c>
      <c r="W23" s="493" t="e">
        <f>VLOOKUP(0.9999*'0.Результаты расчета'!$B$31,Клуб!$C$337:$E$386,3,1)</f>
        <v>#VALUE!</v>
      </c>
      <c r="X23" s="493">
        <f>VLOOKUP(0.9999*'0.Результаты расчета'!$B$29,Клуб!$C$6:$E$55,2,1)</f>
        <v>0.900697424892704</v>
      </c>
      <c r="Y23" s="493">
        <f>VLOOKUP(0.9999*'0.Результаты расчета'!$B$26,Клуб!$C$73:$E$122,2,1)</f>
        <v>0.40228515625</v>
      </c>
      <c r="Z23" s="493" t="e">
        <f>VLOOKUP(0.9999*'0.Результаты расчета'!$B$27,Клуб!$C$138:$E$187,2,1)</f>
        <v>#VALUE!</v>
      </c>
      <c r="AA23" s="493">
        <f>VLOOKUP(0.9999*'0.Результаты расчета'!$B$28,Клуб!$C$204:$E$253,2,1)</f>
        <v>0.771</v>
      </c>
      <c r="AB23" s="493" t="e">
        <f>VLOOKUP(0.9999*'0.Результаты расчета'!$B$30,Клуб!$C$270:$E$319,2,1)</f>
        <v>#VALUE!</v>
      </c>
      <c r="AC23" s="493" t="e">
        <f>VLOOKUP(0.9999*'0.Результаты расчета'!$B$31,Клуб!$C$337:$E$386,2,1)</f>
        <v>#VALUE!</v>
      </c>
      <c r="AD23" s="469" t="s">
        <v>55</v>
      </c>
      <c r="AE23" s="470" t="s">
        <v>56</v>
      </c>
      <c r="AF23" s="469">
        <f>G23*'1.Общие данные по зданию'!$C$19*N23/8.078/1163/0.93</f>
        <v>6.80914425955126</v>
      </c>
      <c r="AG23" s="469">
        <f>I23*'1.Общие данные по зданию'!$C$16*IF('1.Общие данные по зданию'!$C$6='Экспресс потенциал'!$B$6,0.032,0.059)*1000/'1.Общие данные по зданию'!$C$15/8.078/0.93</f>
        <v>0.0817957454039492</v>
      </c>
      <c r="AH23" s="469">
        <f t="shared" si="0"/>
        <v>6.8909400049552</v>
      </c>
    </row>
    <row r="24" spans="2:34">
      <c r="B24" s="469" t="s">
        <v>76</v>
      </c>
      <c r="C24" s="469">
        <v>2</v>
      </c>
      <c r="D24" s="469">
        <v>55.5</v>
      </c>
      <c r="E24" s="469">
        <f t="shared" si="1"/>
        <v>33.3</v>
      </c>
      <c r="F24" s="469">
        <v>49.5</v>
      </c>
      <c r="G24" s="469">
        <f t="shared" si="2"/>
        <v>29.7</v>
      </c>
      <c r="H24" s="469">
        <v>3.86</v>
      </c>
      <c r="I24" s="469">
        <v>2.32</v>
      </c>
      <c r="J24" s="469">
        <v>8.6</v>
      </c>
      <c r="K24" s="469">
        <f t="shared" si="3"/>
        <v>5.16</v>
      </c>
      <c r="L24" s="469">
        <v>36.7</v>
      </c>
      <c r="M24" s="469">
        <f t="shared" si="4"/>
        <v>22.02</v>
      </c>
      <c r="N24" s="489">
        <f>VLOOKUP('1.Общие данные по зданию'!$C$10,'Экспресс потенциал'!C33:I44,IF('1.Общие данные по зданию'!C9="1 смена",4,5),1)</f>
        <v>1.07</v>
      </c>
      <c r="O24" s="472">
        <v>20</v>
      </c>
      <c r="P24" s="472">
        <v>260.9</v>
      </c>
      <c r="Q24" s="472">
        <f>0.6*P24</f>
        <v>156.54</v>
      </c>
      <c r="R24" s="493">
        <f>VLOOKUP(0.9999*'0.Результаты расчета'!$B$29,'Адм. здания'!$C$6:$E$55,3,1)</f>
        <v>0.12724965893588</v>
      </c>
      <c r="S24" s="493">
        <f>VLOOKUP(0.9999*'0.Результаты расчета'!$B$26,'Адм. здания'!$C$73:$E$122,3,1)</f>
        <v>0.0546337209302325</v>
      </c>
      <c r="T24" s="493" t="e">
        <f>VLOOKUP(0.9999*'0.Результаты расчета'!$B$27,'Адм. здания'!$C$138:$E$187,3,1)</f>
        <v>#VALUE!</v>
      </c>
      <c r="U24" s="493">
        <f>VLOOKUP(0.9999*'0.Результаты расчета'!$B$28,'Адм. здания'!$C$204:$E$253,3,1)</f>
        <v>0</v>
      </c>
      <c r="V24" s="493" t="e">
        <f>VLOOKUP(0.9999*'0.Результаты расчета'!$B$30,'Адм. здания'!$C$270:$E$319,3,1)</f>
        <v>#VALUE!</v>
      </c>
      <c r="W24" s="493" t="e">
        <f>VLOOKUP(0.9999*'0.Результаты расчета'!$B$31,'Адм. здания'!$C$337:$E$386,3,1)</f>
        <v>#VALUE!</v>
      </c>
      <c r="X24" s="493">
        <f>VLOOKUP(0.9999*'0.Результаты расчета'!$B$29,'Адм. здания'!$C$6:$E$55,2,1)</f>
        <v>0.545416098226467</v>
      </c>
      <c r="Y24" s="493">
        <f>VLOOKUP(0.9999*'0.Результаты расчета'!$B$26,'Адм. здания'!$C$73:$E$122,2,1)</f>
        <v>0.424389534883721</v>
      </c>
      <c r="Z24" s="493" t="e">
        <f>VLOOKUP(0.9999*'0.Результаты расчета'!$B$27,'Адм. здания'!$C$138:$E$187,2,1)</f>
        <v>#VALUE!</v>
      </c>
      <c r="AA24" s="493">
        <f>VLOOKUP(0.9999*'0.Результаты расчета'!$B$28,'Адм. здания'!$C$204:$E$253,2,1)</f>
        <v>0</v>
      </c>
      <c r="AB24" s="493" t="e">
        <f>VLOOKUP(0.9999*'0.Результаты расчета'!$B$30,'Адм. здания'!$C$270:$E$319,2,1)</f>
        <v>#VALUE!</v>
      </c>
      <c r="AC24" s="493" t="e">
        <f>VLOOKUP(0.9999*'0.Результаты расчета'!$B$31,'Адм. здания'!$C$337:$E$386,2,1)</f>
        <v>#VALUE!</v>
      </c>
      <c r="AD24" s="469" t="s">
        <v>49</v>
      </c>
      <c r="AE24" s="469" t="s">
        <v>50</v>
      </c>
      <c r="AF24" s="469">
        <f>G24*'1.Общие данные по зданию'!$C$19*N24/8.078/1163/0.93</f>
        <v>6.73255846748742</v>
      </c>
      <c r="AG24" s="469">
        <f>I24*'1.Общие данные по зданию'!$C$16*IF('1.Общие данные по зданию'!$C$6='Экспресс потенциал'!$B$6,0.032,0.059)*1000/'1.Общие данные по зданию'!$C$15/8.078/0.93</f>
        <v>1.72514663033784</v>
      </c>
      <c r="AH24" s="469">
        <f t="shared" si="0"/>
        <v>8.45770509782525</v>
      </c>
    </row>
    <row r="25" spans="2:34">
      <c r="B25" s="469" t="s">
        <v>77</v>
      </c>
      <c r="C25" s="469">
        <v>2</v>
      </c>
      <c r="D25" s="469">
        <v>46.4</v>
      </c>
      <c r="E25" s="469">
        <f t="shared" si="1"/>
        <v>27.84</v>
      </c>
      <c r="F25" s="469">
        <v>86.1</v>
      </c>
      <c r="G25" s="469">
        <f t="shared" si="2"/>
        <v>51.66</v>
      </c>
      <c r="H25" s="469">
        <v>2.91</v>
      </c>
      <c r="I25" s="469">
        <v>1.75</v>
      </c>
      <c r="J25" s="469">
        <v>6.2</v>
      </c>
      <c r="K25" s="469">
        <f t="shared" si="3"/>
        <v>3.72</v>
      </c>
      <c r="L25" s="469">
        <v>36</v>
      </c>
      <c r="M25" s="469">
        <f t="shared" si="4"/>
        <v>21.6</v>
      </c>
      <c r="N25" s="489">
        <f>VLOOKUP('1.Общие данные по зданию'!$C$10,'Экспресс потенциал'!C33:I44,IF('1.Общие данные по зданию'!C9="1 смена",4,5),1)</f>
        <v>1.07</v>
      </c>
      <c r="O25" s="472">
        <v>20</v>
      </c>
      <c r="P25" s="469" t="s">
        <v>53</v>
      </c>
      <c r="Q25" s="469" t="s">
        <v>53</v>
      </c>
      <c r="R25" s="493">
        <f>VLOOKUP(0.9999*'0.Результаты расчета'!$B$29,'Центры занятости и Собесы'!$C$6:$E$55,3,1)</f>
        <v>0.172970108695652</v>
      </c>
      <c r="S25" s="493">
        <f>VLOOKUP(0.9999*'0.Результаты расчета'!$B$26,'Центры занятости и Собесы'!$C$73:$E$122,3,1)</f>
        <v>0</v>
      </c>
      <c r="T25" s="493" t="e">
        <f>VLOOKUP(0.9999*'0.Результаты расчета'!$B$27,'Центры занятости и Собесы'!$C$138:$E$187,3,1)</f>
        <v>#VALUE!</v>
      </c>
      <c r="U25" s="493">
        <f>VLOOKUP(0.9999*'0.Результаты расчета'!$B$28,'Центры занятости и Собесы'!$C$204:$E$253,3,1)</f>
        <v>0</v>
      </c>
      <c r="V25" s="493" t="e">
        <f>VLOOKUP(0.9999*'0.Результаты расчета'!$B$30,'Центры занятости и Собесы'!$C$270:$E$319,3,1)</f>
        <v>#VALUE!</v>
      </c>
      <c r="W25" s="494">
        <v>0.06</v>
      </c>
      <c r="X25" s="493">
        <f>VLOOKUP(0.9999*'0.Результаты расчета'!$B$29,'Центры занятости и Собесы'!$C$6:$E$55,2,1)</f>
        <v>0.621616847826087</v>
      </c>
      <c r="Y25" s="493">
        <f>VLOOKUP(0.9999*'0.Результаты расчета'!$B$26,'Центры занятости и Собесы'!$C$73:$E$122,2,1)</f>
        <v>0.0104310344827587</v>
      </c>
      <c r="Z25" s="493" t="e">
        <f>VLOOKUP(0.9999*'0.Результаты расчета'!$B$27,'Центры занятости и Собесы'!$C$138:$E$187,2,1)</f>
        <v>#VALUE!</v>
      </c>
      <c r="AA25" s="493">
        <f>VLOOKUP(0.9999*'0.Результаты расчета'!$B$28,'Центры занятости и Собесы'!$C$204:$E$253,2,1)</f>
        <v>0</v>
      </c>
      <c r="AB25" s="493" t="e">
        <f>VLOOKUP(0.9999*'0.Результаты расчета'!$B$30,'Центры занятости и Собесы'!$C$270:$E$319,2,1)</f>
        <v>#VALUE!</v>
      </c>
      <c r="AC25" s="469" t="s">
        <v>53</v>
      </c>
      <c r="AD25" s="469" t="s">
        <v>49</v>
      </c>
      <c r="AE25" s="469" t="s">
        <v>50</v>
      </c>
      <c r="AF25" s="469">
        <f>G25*'1.Общие данные по зданию'!$C$19*N25/8.078/1163/0.93</f>
        <v>11.710571394963</v>
      </c>
      <c r="AG25" s="469">
        <f>I25*'1.Общие данные по зданию'!$C$16*IF('1.Общие данные по зданию'!$C$6='Экспресс потенциал'!$B$6,0.032,0.059)*1000/'1.Общие данные по зданию'!$C$15/8.078/0.93</f>
        <v>1.30129594960828</v>
      </c>
      <c r="AH25" s="469">
        <f t="shared" si="0"/>
        <v>13.0118673445712</v>
      </c>
    </row>
    <row r="26" spans="2:34">
      <c r="B26" s="469" t="s">
        <v>78</v>
      </c>
      <c r="C26" s="469">
        <v>2</v>
      </c>
      <c r="D26" s="469">
        <v>60.4</v>
      </c>
      <c r="E26" s="469">
        <f t="shared" si="1"/>
        <v>36.24</v>
      </c>
      <c r="F26" s="469">
        <v>51.9</v>
      </c>
      <c r="G26" s="469">
        <f t="shared" si="2"/>
        <v>31.14</v>
      </c>
      <c r="H26" s="469" t="s">
        <v>53</v>
      </c>
      <c r="I26" s="469" t="s">
        <v>53</v>
      </c>
      <c r="J26" s="469">
        <v>16.8</v>
      </c>
      <c r="K26" s="469">
        <f t="shared" si="3"/>
        <v>10.08</v>
      </c>
      <c r="L26" s="469" t="s">
        <v>53</v>
      </c>
      <c r="M26" s="469" t="s">
        <v>53</v>
      </c>
      <c r="N26" s="489">
        <f>VLOOKUP('1.Общие данные по зданию'!$C$10,'Экспресс потенциал'!C33:I44,IF('1.Общие данные по зданию'!C9="1 смена",4,5),1)</f>
        <v>1.07</v>
      </c>
      <c r="O26" s="472">
        <v>20</v>
      </c>
      <c r="P26" s="469" t="s">
        <v>53</v>
      </c>
      <c r="Q26" s="469" t="s">
        <v>53</v>
      </c>
      <c r="R26" s="493">
        <f>VLOOKUP(0.9999*'0.Результаты расчета'!$B$29,'НИИ и проч'!$C$6:$E$55,3,1)</f>
        <v>0.101306318681319</v>
      </c>
      <c r="S26" s="493">
        <f>VLOOKUP(0.9999*'0.Результаты расчета'!$B$26,'НИИ и проч'!$C$73:$E$122,3,1)</f>
        <v>0.0397301740812379</v>
      </c>
      <c r="T26" s="494">
        <v>0.06</v>
      </c>
      <c r="U26" s="493">
        <f>VLOOKUP(0.9999*'0.Результаты расчета'!$B$28,'НИИ и проч'!$C$204:$E$253,3,1)</f>
        <v>0</v>
      </c>
      <c r="V26" s="494">
        <v>0.06</v>
      </c>
      <c r="W26" s="494">
        <v>0.06</v>
      </c>
      <c r="X26" s="493">
        <f>VLOOKUP(0.9999*'0.Результаты расчета'!$B$29,'НИИ и проч'!$C$6:$E$55,2,1)</f>
        <v>0.502177197802198</v>
      </c>
      <c r="Y26" s="493">
        <f>VLOOKUP(0.9999*'0.Результаты расчета'!$B$26,'НИИ и проч'!$C$73:$E$122,2,1)</f>
        <v>0.397301740812379</v>
      </c>
      <c r="Z26" s="469" t="s">
        <v>53</v>
      </c>
      <c r="AA26" s="493">
        <f>VLOOKUP(0.9999*'0.Результаты расчета'!$B$28,'НИИ и проч'!$C$204:$E$253,2,1)</f>
        <v>0</v>
      </c>
      <c r="AB26" s="469" t="s">
        <v>53</v>
      </c>
      <c r="AC26" s="469" t="s">
        <v>53</v>
      </c>
      <c r="AD26" s="469" t="s">
        <v>49</v>
      </c>
      <c r="AE26" s="469" t="s">
        <v>50</v>
      </c>
      <c r="AF26" s="469">
        <f>G26*'1.Общие данные по зданию'!$C$19*N26/8.078/1163/0.93</f>
        <v>7.05898554469893</v>
      </c>
      <c r="AH26" s="469">
        <f t="shared" si="0"/>
        <v>7.05898554469893</v>
      </c>
    </row>
    <row r="27" spans="2:29">
      <c r="B27" s="470" t="s">
        <v>79</v>
      </c>
      <c r="E27" s="470" t="s">
        <v>80</v>
      </c>
      <c r="G27" s="470" t="s">
        <v>80</v>
      </c>
      <c r="I27" s="470" t="s">
        <v>80</v>
      </c>
      <c r="K27" s="470" t="s">
        <v>80</v>
      </c>
      <c r="M27" s="470" t="s">
        <v>80</v>
      </c>
      <c r="N27" s="469">
        <v>1</v>
      </c>
      <c r="O27" s="469">
        <v>20</v>
      </c>
      <c r="P27" s="469" t="s">
        <v>53</v>
      </c>
      <c r="Q27" s="469" t="s">
        <v>53</v>
      </c>
      <c r="R27" s="494">
        <v>0.06</v>
      </c>
      <c r="S27" s="494">
        <v>0.06</v>
      </c>
      <c r="T27" s="494">
        <v>0.06</v>
      </c>
      <c r="U27" s="494">
        <v>0.06</v>
      </c>
      <c r="V27" s="494">
        <v>0.06</v>
      </c>
      <c r="W27" s="494">
        <v>0.06</v>
      </c>
      <c r="X27" s="470" t="s">
        <v>80</v>
      </c>
      <c r="Y27" s="470" t="s">
        <v>80</v>
      </c>
      <c r="Z27" s="470" t="s">
        <v>80</v>
      </c>
      <c r="AA27" s="470" t="s">
        <v>80</v>
      </c>
      <c r="AB27" s="470" t="s">
        <v>80</v>
      </c>
      <c r="AC27" s="470" t="s">
        <v>80</v>
      </c>
    </row>
    <row r="30" spans="1:3">
      <c r="A30" s="473"/>
      <c r="C30" s="474" t="s">
        <v>81</v>
      </c>
    </row>
    <row r="31" ht="47.25" customHeight="1" spans="3:9">
      <c r="C31" s="475" t="s">
        <v>82</v>
      </c>
      <c r="D31" s="476" t="s">
        <v>83</v>
      </c>
      <c r="E31" s="476"/>
      <c r="F31" s="476" t="s">
        <v>84</v>
      </c>
      <c r="G31" s="476"/>
      <c r="H31" s="476" t="s">
        <v>85</v>
      </c>
      <c r="I31" s="476"/>
    </row>
    <row r="32" ht="47.25" spans="3:13">
      <c r="C32" s="475" t="s">
        <v>86</v>
      </c>
      <c r="D32" s="476" t="s">
        <v>87</v>
      </c>
      <c r="E32" s="476" t="s">
        <v>88</v>
      </c>
      <c r="F32" s="476" t="s">
        <v>87</v>
      </c>
      <c r="G32" s="476" t="s">
        <v>88</v>
      </c>
      <c r="H32" s="476" t="s">
        <v>87</v>
      </c>
      <c r="I32" s="476" t="s">
        <v>88</v>
      </c>
      <c r="M32" s="469" t="s">
        <v>89</v>
      </c>
    </row>
    <row r="33" ht="15.75" spans="3:13">
      <c r="C33" s="475">
        <v>1</v>
      </c>
      <c r="D33" s="477">
        <v>1</v>
      </c>
      <c r="E33" s="477">
        <v>1</v>
      </c>
      <c r="F33" s="476">
        <v>1.1</v>
      </c>
      <c r="G33" s="476">
        <v>1.07</v>
      </c>
      <c r="H33" s="476">
        <v>1.23</v>
      </c>
      <c r="I33" s="476">
        <v>1.17</v>
      </c>
      <c r="M33" s="469" t="s">
        <v>90</v>
      </c>
    </row>
    <row r="34" ht="15.75" spans="3:9">
      <c r="C34" s="475">
        <v>2</v>
      </c>
      <c r="D34" s="476">
        <v>0.91</v>
      </c>
      <c r="E34" s="476">
        <v>0.93</v>
      </c>
      <c r="F34" s="477">
        <v>1</v>
      </c>
      <c r="G34" s="477">
        <v>1</v>
      </c>
      <c r="H34" s="476">
        <v>1.13</v>
      </c>
      <c r="I34" s="476">
        <v>1.09</v>
      </c>
    </row>
    <row r="35" ht="15.75" spans="3:9">
      <c r="C35" s="475">
        <v>3</v>
      </c>
      <c r="D35" s="476">
        <v>0.81</v>
      </c>
      <c r="E35" s="476">
        <v>0.85</v>
      </c>
      <c r="F35" s="476">
        <v>0.89</v>
      </c>
      <c r="G35" s="476">
        <v>0.92</v>
      </c>
      <c r="H35" s="477">
        <v>1</v>
      </c>
      <c r="I35" s="477">
        <v>1</v>
      </c>
    </row>
    <row r="36" ht="15.75" spans="3:9">
      <c r="C36" s="475">
        <v>4</v>
      </c>
      <c r="D36" s="476">
        <v>0.72</v>
      </c>
      <c r="E36" s="476">
        <v>0.85</v>
      </c>
      <c r="F36" s="476">
        <v>0.79</v>
      </c>
      <c r="G36" s="476">
        <v>0.92</v>
      </c>
      <c r="H36" s="476">
        <v>0.89</v>
      </c>
      <c r="I36" s="476">
        <v>1</v>
      </c>
    </row>
    <row r="37" ht="15.75" spans="3:9">
      <c r="C37" s="475">
        <v>5</v>
      </c>
      <c r="D37" s="476">
        <v>0.72</v>
      </c>
      <c r="E37" s="476">
        <v>0.78</v>
      </c>
      <c r="F37" s="476">
        <v>0.79</v>
      </c>
      <c r="G37" s="476">
        <v>0.84</v>
      </c>
      <c r="H37" s="476">
        <v>0.89</v>
      </c>
      <c r="I37" s="476">
        <v>0.92</v>
      </c>
    </row>
    <row r="38" ht="15.75" spans="3:9">
      <c r="C38" s="475">
        <v>6</v>
      </c>
      <c r="D38" s="476">
        <v>0.63</v>
      </c>
      <c r="E38" s="476">
        <v>0.71</v>
      </c>
      <c r="F38" s="476">
        <v>0.69</v>
      </c>
      <c r="G38" s="476">
        <v>0.76</v>
      </c>
      <c r="H38" s="476">
        <v>0.78</v>
      </c>
      <c r="I38" s="476">
        <v>0.83</v>
      </c>
    </row>
    <row r="39" ht="15.75" spans="3:9">
      <c r="C39" s="475">
        <v>7</v>
      </c>
      <c r="D39" s="476">
        <v>0.63</v>
      </c>
      <c r="E39" s="476">
        <v>0.71</v>
      </c>
      <c r="F39" s="476">
        <v>0.69</v>
      </c>
      <c r="G39" s="476">
        <v>0.76</v>
      </c>
      <c r="H39" s="476">
        <v>0.78</v>
      </c>
      <c r="I39" s="476">
        <v>0.83</v>
      </c>
    </row>
    <row r="40" ht="15.75" spans="3:9">
      <c r="C40" s="475">
        <v>8</v>
      </c>
      <c r="D40" s="476">
        <v>0.58</v>
      </c>
      <c r="E40" s="476">
        <v>0.67</v>
      </c>
      <c r="F40" s="476">
        <v>0.63</v>
      </c>
      <c r="G40" s="476">
        <v>0.72</v>
      </c>
      <c r="H40" s="476">
        <v>0.71</v>
      </c>
      <c r="I40" s="476">
        <v>0.79</v>
      </c>
    </row>
    <row r="41" ht="15.75" spans="3:9">
      <c r="C41" s="475">
        <v>9</v>
      </c>
      <c r="D41" s="476">
        <v>0.58</v>
      </c>
      <c r="E41" s="476">
        <v>0.67</v>
      </c>
      <c r="F41" s="476">
        <v>0.63</v>
      </c>
      <c r="G41" s="476">
        <v>0.72</v>
      </c>
      <c r="H41" s="476">
        <v>0.71</v>
      </c>
      <c r="I41" s="476">
        <v>0.79</v>
      </c>
    </row>
    <row r="42" ht="15.75" spans="3:9">
      <c r="C42" s="475">
        <v>10</v>
      </c>
      <c r="D42" s="476">
        <v>0.54</v>
      </c>
      <c r="E42" s="476">
        <v>0.65</v>
      </c>
      <c r="F42" s="476">
        <v>0.6</v>
      </c>
      <c r="G42" s="476">
        <v>0.7</v>
      </c>
      <c r="H42" s="476">
        <v>0.67</v>
      </c>
      <c r="I42" s="476">
        <v>0.76</v>
      </c>
    </row>
    <row r="43" ht="15.75" spans="3:9">
      <c r="C43" s="475">
        <v>11</v>
      </c>
      <c r="D43" s="476">
        <v>0.54</v>
      </c>
      <c r="E43" s="476">
        <v>0.65</v>
      </c>
      <c r="F43" s="476">
        <v>0.6</v>
      </c>
      <c r="G43" s="476">
        <v>0.7</v>
      </c>
      <c r="H43" s="476">
        <v>0.67</v>
      </c>
      <c r="I43" s="476">
        <v>0.76</v>
      </c>
    </row>
    <row r="44" ht="15.75" spans="3:9">
      <c r="C44" s="475">
        <v>12</v>
      </c>
      <c r="D44" s="476">
        <v>0.54</v>
      </c>
      <c r="E44" s="476">
        <v>0.65</v>
      </c>
      <c r="F44" s="476">
        <v>0.59</v>
      </c>
      <c r="G44" s="476">
        <v>0.69</v>
      </c>
      <c r="H44" s="476">
        <v>0.66</v>
      </c>
      <c r="I44" s="476">
        <v>0.76</v>
      </c>
    </row>
    <row r="45" ht="18.75" spans="3:3">
      <c r="C45" s="478"/>
    </row>
    <row r="46" spans="2:6">
      <c r="B46" s="479"/>
      <c r="C46" s="480" t="s">
        <v>91</v>
      </c>
      <c r="D46" s="481" t="s">
        <v>92</v>
      </c>
      <c r="E46" s="479"/>
      <c r="F46" s="479"/>
    </row>
    <row r="47" ht="47.25" customHeight="1" spans="2:6">
      <c r="B47" s="479"/>
      <c r="C47" s="482" t="s">
        <v>82</v>
      </c>
      <c r="D47" s="483" t="s">
        <v>93</v>
      </c>
      <c r="E47" s="483"/>
      <c r="F47" s="483"/>
    </row>
    <row r="48" spans="2:6">
      <c r="B48" s="479"/>
      <c r="C48" s="482" t="s">
        <v>86</v>
      </c>
      <c r="D48" s="483">
        <v>1</v>
      </c>
      <c r="E48" s="483">
        <v>2</v>
      </c>
      <c r="F48" s="483">
        <v>3</v>
      </c>
    </row>
    <row r="49" ht="15.75" spans="3:6">
      <c r="C49" s="475">
        <v>1</v>
      </c>
      <c r="D49" s="477">
        <v>1</v>
      </c>
      <c r="E49" s="476">
        <v>1.03</v>
      </c>
      <c r="F49" s="476">
        <v>1.06</v>
      </c>
    </row>
    <row r="50" ht="15.75" spans="3:6">
      <c r="C50" s="475">
        <v>2</v>
      </c>
      <c r="D50" s="476">
        <v>0.97</v>
      </c>
      <c r="E50" s="477">
        <v>1</v>
      </c>
      <c r="F50" s="476">
        <v>1.03</v>
      </c>
    </row>
    <row r="51" ht="15.75" spans="3:6">
      <c r="C51" s="475">
        <v>3</v>
      </c>
      <c r="D51" s="476">
        <v>0.94</v>
      </c>
      <c r="E51" s="476">
        <v>0.97</v>
      </c>
      <c r="F51" s="477">
        <v>1</v>
      </c>
    </row>
    <row r="52" ht="15.75" spans="3:6">
      <c r="C52" s="475">
        <v>4</v>
      </c>
      <c r="D52" s="476">
        <v>0.94</v>
      </c>
      <c r="E52" s="476">
        <v>0.97</v>
      </c>
      <c r="F52" s="476">
        <v>1</v>
      </c>
    </row>
    <row r="53" ht="15.75" spans="3:6">
      <c r="C53" s="475">
        <v>5</v>
      </c>
      <c r="D53" s="476">
        <v>0.91</v>
      </c>
      <c r="E53" s="476">
        <v>0.94</v>
      </c>
      <c r="F53" s="476">
        <v>0.97</v>
      </c>
    </row>
    <row r="54" ht="15.75" spans="3:6">
      <c r="C54" s="475">
        <v>6</v>
      </c>
      <c r="D54" s="476">
        <v>0.87</v>
      </c>
      <c r="E54" s="476">
        <v>0.89</v>
      </c>
      <c r="F54" s="476">
        <v>0.92</v>
      </c>
    </row>
    <row r="55" ht="15.75" spans="3:6">
      <c r="C55" s="475">
        <v>7</v>
      </c>
      <c r="D55" s="476">
        <v>0.87</v>
      </c>
      <c r="E55" s="476">
        <v>0.89</v>
      </c>
      <c r="F55" s="476">
        <v>0.92</v>
      </c>
    </row>
    <row r="56" ht="15.75" spans="3:6">
      <c r="C56" s="475">
        <v>8</v>
      </c>
      <c r="D56" s="476">
        <v>0.84</v>
      </c>
      <c r="E56" s="476">
        <v>0.86</v>
      </c>
      <c r="F56" s="476">
        <v>0.89</v>
      </c>
    </row>
    <row r="57" ht="15.75" spans="3:6">
      <c r="C57" s="475">
        <v>9</v>
      </c>
      <c r="D57" s="476">
        <v>0.84</v>
      </c>
      <c r="E57" s="476">
        <v>0.86</v>
      </c>
      <c r="F57" s="476">
        <v>0.89</v>
      </c>
    </row>
    <row r="58" ht="15.75" spans="3:6">
      <c r="C58" s="475">
        <v>10</v>
      </c>
      <c r="D58" s="476">
        <v>0.82</v>
      </c>
      <c r="E58" s="476">
        <v>0.84</v>
      </c>
      <c r="F58" s="476">
        <v>0.87</v>
      </c>
    </row>
    <row r="59" ht="15.75" spans="3:6">
      <c r="C59" s="475">
        <v>11</v>
      </c>
      <c r="D59" s="476">
        <v>0.82</v>
      </c>
      <c r="E59" s="476">
        <v>0.84</v>
      </c>
      <c r="F59" s="476">
        <v>0.87</v>
      </c>
    </row>
    <row r="60" ht="15.75" spans="3:6">
      <c r="C60" s="475">
        <v>12</v>
      </c>
      <c r="D60" s="476">
        <v>0.8</v>
      </c>
      <c r="E60" s="476">
        <v>0.82</v>
      </c>
      <c r="F60" s="476">
        <v>0.85</v>
      </c>
    </row>
    <row r="61" ht="18.75" spans="3:3">
      <c r="C61" s="478"/>
    </row>
    <row r="62" spans="3:6">
      <c r="C62" s="484" t="s">
        <v>94</v>
      </c>
      <c r="D62" s="484" t="s">
        <v>95</v>
      </c>
      <c r="E62" s="485"/>
      <c r="F62" s="485"/>
    </row>
    <row r="63" ht="47.25" customHeight="1" spans="3:6">
      <c r="C63" s="486" t="s">
        <v>82</v>
      </c>
      <c r="D63" s="487" t="s">
        <v>93</v>
      </c>
      <c r="E63" s="487"/>
      <c r="F63" s="487"/>
    </row>
    <row r="64" ht="15.75" spans="3:6">
      <c r="C64" s="488" t="s">
        <v>86</v>
      </c>
      <c r="D64" s="477">
        <v>1</v>
      </c>
      <c r="E64" s="477">
        <v>2</v>
      </c>
      <c r="F64" s="477">
        <v>3</v>
      </c>
    </row>
    <row r="65" ht="15.75" spans="3:6">
      <c r="C65" s="475">
        <v>1</v>
      </c>
      <c r="D65" s="477">
        <v>1</v>
      </c>
      <c r="E65" s="476">
        <v>1.03</v>
      </c>
      <c r="F65" s="476">
        <v>1.06</v>
      </c>
    </row>
    <row r="66" ht="15.75" spans="3:6">
      <c r="C66" s="475">
        <v>2</v>
      </c>
      <c r="D66" s="476">
        <v>0.97</v>
      </c>
      <c r="E66" s="477">
        <v>1</v>
      </c>
      <c r="F66" s="476">
        <v>1.03</v>
      </c>
    </row>
    <row r="67" ht="15.75" spans="3:6">
      <c r="C67" s="475">
        <v>3</v>
      </c>
      <c r="D67" s="476">
        <v>0.95</v>
      </c>
      <c r="E67" s="476">
        <v>0.97</v>
      </c>
      <c r="F67" s="477">
        <v>1</v>
      </c>
    </row>
    <row r="68" ht="15.75" spans="3:6">
      <c r="C68" s="475">
        <v>4</v>
      </c>
      <c r="D68" s="476">
        <v>0.95</v>
      </c>
      <c r="E68" s="476">
        <v>0.97</v>
      </c>
      <c r="F68" s="476">
        <v>1</v>
      </c>
    </row>
    <row r="69" ht="15.75" spans="3:6">
      <c r="C69" s="475">
        <v>5</v>
      </c>
      <c r="D69" s="476">
        <v>0.92</v>
      </c>
      <c r="E69" s="476">
        <v>0.95</v>
      </c>
      <c r="F69" s="476">
        <v>0.97</v>
      </c>
    </row>
    <row r="70" ht="15.75" spans="3:6">
      <c r="C70" s="475">
        <v>6</v>
      </c>
      <c r="D70" s="476">
        <v>0.88</v>
      </c>
      <c r="E70" s="476">
        <v>0.91</v>
      </c>
      <c r="F70" s="476">
        <v>0.93</v>
      </c>
    </row>
    <row r="71" ht="15.75" spans="3:6">
      <c r="C71" s="475">
        <v>7</v>
      </c>
      <c r="D71" s="476">
        <v>0.88</v>
      </c>
      <c r="E71" s="476">
        <v>0.91</v>
      </c>
      <c r="F71" s="476">
        <v>0.93</v>
      </c>
    </row>
    <row r="72" ht="15.75" spans="3:6">
      <c r="C72" s="475">
        <v>8</v>
      </c>
      <c r="D72" s="476">
        <v>0.86</v>
      </c>
      <c r="E72" s="476">
        <v>0.88</v>
      </c>
      <c r="F72" s="476">
        <v>0.91</v>
      </c>
    </row>
    <row r="73" ht="15.75" spans="3:6">
      <c r="C73" s="475">
        <v>9</v>
      </c>
      <c r="D73" s="476">
        <v>0.86</v>
      </c>
      <c r="E73" s="476">
        <v>0.88</v>
      </c>
      <c r="F73" s="476">
        <v>0.91</v>
      </c>
    </row>
    <row r="74" ht="15.75" spans="3:6">
      <c r="C74" s="475">
        <v>10</v>
      </c>
      <c r="D74" s="476">
        <v>0.84</v>
      </c>
      <c r="E74" s="476">
        <v>0.86</v>
      </c>
      <c r="F74" s="476">
        <v>0.89</v>
      </c>
    </row>
    <row r="75" ht="15.75" spans="3:6">
      <c r="C75" s="475">
        <v>11</v>
      </c>
      <c r="D75" s="476">
        <v>0.84</v>
      </c>
      <c r="E75" s="476">
        <v>0.86</v>
      </c>
      <c r="F75" s="476">
        <v>0.89</v>
      </c>
    </row>
    <row r="76" ht="15.75" spans="3:6">
      <c r="C76" s="475">
        <v>12</v>
      </c>
      <c r="D76" s="476">
        <v>0.82</v>
      </c>
      <c r="E76" s="476">
        <v>0.84</v>
      </c>
      <c r="F76" s="476">
        <v>0.87</v>
      </c>
    </row>
    <row r="77" ht="18.75" spans="3:3">
      <c r="C77" s="478"/>
    </row>
    <row r="78" ht="15.75" spans="3:12">
      <c r="C78" s="499" t="s">
        <v>96</v>
      </c>
      <c r="D78" s="470"/>
      <c r="E78" s="470"/>
      <c r="F78" s="470"/>
      <c r="G78" s="470"/>
      <c r="H78" s="470"/>
      <c r="I78" s="470"/>
      <c r="J78" s="470"/>
      <c r="K78" s="470"/>
      <c r="L78" s="470"/>
    </row>
    <row r="79" ht="19.5" customHeight="1" spans="3:12">
      <c r="C79" s="475" t="s">
        <v>97</v>
      </c>
      <c r="D79" s="500" t="s">
        <v>98</v>
      </c>
      <c r="E79" s="500"/>
      <c r="F79" s="500"/>
      <c r="G79" s="476" t="s">
        <v>99</v>
      </c>
      <c r="H79" s="476"/>
      <c r="I79" s="476"/>
      <c r="J79" s="476" t="s">
        <v>100</v>
      </c>
      <c r="K79" s="476"/>
      <c r="L79" s="476"/>
    </row>
    <row r="80" ht="47.25" customHeight="1" spans="3:12">
      <c r="C80" s="475" t="s">
        <v>82</v>
      </c>
      <c r="D80" s="500" t="s">
        <v>93</v>
      </c>
      <c r="E80" s="500"/>
      <c r="F80" s="500"/>
      <c r="G80" s="476" t="s">
        <v>93</v>
      </c>
      <c r="H80" s="476"/>
      <c r="I80" s="476"/>
      <c r="J80" s="476" t="s">
        <v>93</v>
      </c>
      <c r="K80" s="476"/>
      <c r="L80" s="476"/>
    </row>
    <row r="81" ht="15.75" spans="3:12">
      <c r="C81" s="475" t="s">
        <v>86</v>
      </c>
      <c r="D81" s="500">
        <v>1</v>
      </c>
      <c r="E81" s="476">
        <v>2</v>
      </c>
      <c r="F81" s="476">
        <v>3</v>
      </c>
      <c r="G81" s="476">
        <v>1</v>
      </c>
      <c r="H81" s="476">
        <v>2</v>
      </c>
      <c r="I81" s="476">
        <v>3</v>
      </c>
      <c r="J81" s="476">
        <v>1</v>
      </c>
      <c r="K81" s="476">
        <v>2</v>
      </c>
      <c r="L81" s="476">
        <v>3</v>
      </c>
    </row>
    <row r="82" ht="15.75" spans="3:12">
      <c r="C82" s="488">
        <v>1</v>
      </c>
      <c r="D82" s="501">
        <v>1</v>
      </c>
      <c r="E82" s="476">
        <v>1.05</v>
      </c>
      <c r="F82" s="476">
        <v>1.1</v>
      </c>
      <c r="G82" s="477">
        <v>1</v>
      </c>
      <c r="H82" s="476">
        <v>1.04</v>
      </c>
      <c r="I82" s="476">
        <v>1.11</v>
      </c>
      <c r="J82" s="477">
        <v>1</v>
      </c>
      <c r="K82" s="476">
        <v>1.04</v>
      </c>
      <c r="L82" s="476">
        <v>1.08</v>
      </c>
    </row>
    <row r="83" ht="15.75" spans="3:12">
      <c r="C83" s="475">
        <v>2</v>
      </c>
      <c r="D83" s="500">
        <v>0.95</v>
      </c>
      <c r="E83" s="477">
        <v>1</v>
      </c>
      <c r="F83" s="476">
        <v>1.05</v>
      </c>
      <c r="G83" s="476">
        <v>0.97</v>
      </c>
      <c r="H83" s="477">
        <v>1</v>
      </c>
      <c r="I83" s="476">
        <v>1.08</v>
      </c>
      <c r="J83" s="476">
        <v>0.96</v>
      </c>
      <c r="K83" s="477">
        <v>1</v>
      </c>
      <c r="L83" s="476">
        <v>1.04</v>
      </c>
    </row>
    <row r="84" ht="15.75" spans="3:12">
      <c r="C84" s="475">
        <v>3</v>
      </c>
      <c r="D84" s="500">
        <v>0.91</v>
      </c>
      <c r="E84" s="476">
        <v>0.95</v>
      </c>
      <c r="F84" s="477">
        <v>1</v>
      </c>
      <c r="G84" s="476">
        <v>0.9</v>
      </c>
      <c r="H84" s="476">
        <v>0.93</v>
      </c>
      <c r="I84" s="477">
        <v>1</v>
      </c>
      <c r="J84" s="476">
        <v>0.92</v>
      </c>
      <c r="K84" s="476">
        <v>0.96</v>
      </c>
      <c r="L84" s="477">
        <v>1</v>
      </c>
    </row>
    <row r="85" ht="15.75" spans="3:12">
      <c r="C85" s="475">
        <v>4</v>
      </c>
      <c r="D85" s="500">
        <v>0.91</v>
      </c>
      <c r="E85" s="476">
        <v>0.95</v>
      </c>
      <c r="F85" s="476">
        <v>1</v>
      </c>
      <c r="G85" s="476">
        <v>0.9</v>
      </c>
      <c r="H85" s="476">
        <v>0.93</v>
      </c>
      <c r="I85" s="476">
        <v>1</v>
      </c>
      <c r="J85" s="476">
        <v>0.92</v>
      </c>
      <c r="K85" s="476">
        <v>0.96</v>
      </c>
      <c r="L85" s="476">
        <v>1</v>
      </c>
    </row>
    <row r="86" ht="15.75" spans="3:12">
      <c r="C86" s="475">
        <v>5</v>
      </c>
      <c r="D86" s="500">
        <v>0.88</v>
      </c>
      <c r="E86" s="476">
        <v>0.92</v>
      </c>
      <c r="F86" s="476">
        <v>0.97</v>
      </c>
      <c r="G86" s="476">
        <v>0.86</v>
      </c>
      <c r="H86" s="476">
        <v>0.89</v>
      </c>
      <c r="I86" s="476">
        <v>0.96</v>
      </c>
      <c r="J86" s="476">
        <v>0.89</v>
      </c>
      <c r="K86" s="476">
        <v>0.92</v>
      </c>
      <c r="L86" s="476">
        <v>0.96</v>
      </c>
    </row>
    <row r="87" ht="15.75" spans="3:12">
      <c r="C87" s="475">
        <v>6</v>
      </c>
      <c r="D87" s="500">
        <v>0.86</v>
      </c>
      <c r="E87" s="476">
        <v>0.9</v>
      </c>
      <c r="F87" s="476">
        <v>0.95</v>
      </c>
      <c r="G87" s="476">
        <v>0.85</v>
      </c>
      <c r="H87" s="476">
        <v>0.88</v>
      </c>
      <c r="I87" s="476">
        <v>0.94</v>
      </c>
      <c r="J87" s="476">
        <v>0.87</v>
      </c>
      <c r="K87" s="476">
        <v>0.9</v>
      </c>
      <c r="L87" s="476">
        <v>0.94</v>
      </c>
    </row>
    <row r="88" ht="15.75" spans="3:12">
      <c r="C88" s="475">
        <v>7</v>
      </c>
      <c r="D88" s="500">
        <v>0.86</v>
      </c>
      <c r="E88" s="476">
        <v>0.9</v>
      </c>
      <c r="F88" s="476">
        <v>0.95</v>
      </c>
      <c r="G88" s="476">
        <v>0.85</v>
      </c>
      <c r="H88" s="476">
        <v>0.88</v>
      </c>
      <c r="I88" s="476">
        <v>0.94</v>
      </c>
      <c r="J88" s="476">
        <v>0.87</v>
      </c>
      <c r="K88" s="476">
        <v>0.9</v>
      </c>
      <c r="L88" s="476">
        <v>0.94</v>
      </c>
    </row>
    <row r="89" ht="15.75" spans="3:12">
      <c r="C89" s="475">
        <v>8</v>
      </c>
      <c r="D89" s="500">
        <v>0.84</v>
      </c>
      <c r="E89" s="476">
        <v>0.88</v>
      </c>
      <c r="F89" s="476">
        <v>0.93</v>
      </c>
      <c r="G89" s="476">
        <v>0.83</v>
      </c>
      <c r="H89" s="476">
        <v>0.86</v>
      </c>
      <c r="I89" s="476">
        <v>0.92</v>
      </c>
      <c r="J89" s="476">
        <v>0.85</v>
      </c>
      <c r="K89" s="476">
        <v>0.88</v>
      </c>
      <c r="L89" s="476">
        <v>0.91</v>
      </c>
    </row>
    <row r="90" ht="15.75" spans="3:12">
      <c r="C90" s="475">
        <v>9</v>
      </c>
      <c r="D90" s="500">
        <v>0.84</v>
      </c>
      <c r="E90" s="476">
        <v>0.88</v>
      </c>
      <c r="F90" s="476">
        <v>0.93</v>
      </c>
      <c r="G90" s="476">
        <v>0.83</v>
      </c>
      <c r="H90" s="476">
        <v>0.86</v>
      </c>
      <c r="I90" s="476">
        <v>0.92</v>
      </c>
      <c r="J90" s="476">
        <v>0.85</v>
      </c>
      <c r="K90" s="476">
        <v>0.88</v>
      </c>
      <c r="L90" s="476">
        <v>0.91</v>
      </c>
    </row>
    <row r="91" ht="15.75" spans="3:12">
      <c r="C91" s="475">
        <v>10</v>
      </c>
      <c r="D91" s="500">
        <v>0.82</v>
      </c>
      <c r="E91" s="476">
        <v>0.86</v>
      </c>
      <c r="F91" s="476">
        <v>0.91</v>
      </c>
      <c r="G91" s="476">
        <v>0.81</v>
      </c>
      <c r="H91" s="476">
        <v>0.84</v>
      </c>
      <c r="I91" s="476">
        <v>0.9</v>
      </c>
      <c r="J91" s="476">
        <v>0.82</v>
      </c>
      <c r="K91" s="476">
        <v>0.86</v>
      </c>
      <c r="L91" s="476">
        <v>0.89</v>
      </c>
    </row>
    <row r="92" ht="15.75" spans="3:12">
      <c r="C92" s="475">
        <v>11</v>
      </c>
      <c r="D92" s="500">
        <v>0.82</v>
      </c>
      <c r="E92" s="476">
        <v>0.86</v>
      </c>
      <c r="F92" s="476">
        <v>0.91</v>
      </c>
      <c r="G92" s="476">
        <v>0.81</v>
      </c>
      <c r="H92" s="476">
        <v>0.84</v>
      </c>
      <c r="I92" s="476">
        <v>0.9</v>
      </c>
      <c r="J92" s="476">
        <v>0.82</v>
      </c>
      <c r="K92" s="476">
        <v>0.86</v>
      </c>
      <c r="L92" s="476">
        <v>0.89</v>
      </c>
    </row>
  </sheetData>
  <mergeCells count="13">
    <mergeCell ref="R2:W2"/>
    <mergeCell ref="X2:AC2"/>
    <mergeCell ref="D31:E31"/>
    <mergeCell ref="F31:G31"/>
    <mergeCell ref="H31:I31"/>
    <mergeCell ref="D47:F47"/>
    <mergeCell ref="D63:F63"/>
    <mergeCell ref="D79:F79"/>
    <mergeCell ref="G79:I79"/>
    <mergeCell ref="J79:L79"/>
    <mergeCell ref="D80:F80"/>
    <mergeCell ref="G80:I80"/>
    <mergeCell ref="J80:L80"/>
  </mergeCells>
  <pageMargins left="0.7" right="0.7" top="0.75" bottom="0.75" header="0.3" footer="0.3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Лист11">
    <tabColor rgb="FF92D050"/>
  </sheetPr>
  <dimension ref="A1:J464"/>
  <sheetViews>
    <sheetView topLeftCell="A466" workbookViewId="0">
      <selection activeCell="O401" sqref="O401"/>
    </sheetView>
  </sheetViews>
  <sheetFormatPr defaultColWidth="8.72380952380952" defaultRowHeight="15"/>
  <cols>
    <col min="3" max="3" width="9.18095238095238"/>
    <col min="5" max="5" width="9.45714285714286" customWidth="1"/>
    <col min="6" max="6" width="8.72380952380952" style="64"/>
    <col min="7" max="7" width="9.45714285714286" style="64" customWidth="1"/>
  </cols>
  <sheetData>
    <row r="1" ht="15.75" spans="4:6">
      <c r="D1" s="65">
        <v>0.1</v>
      </c>
      <c r="E1" s="65">
        <v>0.4</v>
      </c>
      <c r="F1" s="70"/>
    </row>
    <row r="2" ht="23.25" customHeight="1" spans="1:7">
      <c r="A2" s="252" t="s">
        <v>165</v>
      </c>
      <c r="B2" s="67" t="s">
        <v>166</v>
      </c>
      <c r="C2" s="68"/>
      <c r="D2" s="69"/>
      <c r="F2" s="70"/>
      <c r="G2" s="70"/>
    </row>
    <row r="3" ht="72.75" spans="1:7">
      <c r="A3" s="253"/>
      <c r="B3" s="72" t="s">
        <v>167</v>
      </c>
      <c r="C3" s="72"/>
      <c r="D3" s="72" t="s">
        <v>168</v>
      </c>
      <c r="E3" s="72" t="s">
        <v>169</v>
      </c>
      <c r="F3" s="73" t="s">
        <v>169</v>
      </c>
      <c r="G3" s="73"/>
    </row>
    <row r="4" ht="16.5" customHeight="1" spans="1:7">
      <c r="A4" s="254"/>
      <c r="B4" s="72" t="s">
        <v>170</v>
      </c>
      <c r="C4" s="72"/>
      <c r="D4" s="72" t="s">
        <v>171</v>
      </c>
      <c r="E4" s="72" t="s">
        <v>171</v>
      </c>
      <c r="F4" s="73" t="s">
        <v>171</v>
      </c>
      <c r="G4" s="73"/>
    </row>
    <row r="5" spans="1:7">
      <c r="A5" s="75">
        <v>1</v>
      </c>
      <c r="B5" s="76">
        <v>2</v>
      </c>
      <c r="C5" s="76"/>
      <c r="D5" s="76">
        <v>3</v>
      </c>
      <c r="E5" s="76">
        <v>4</v>
      </c>
      <c r="F5" s="77">
        <v>5</v>
      </c>
      <c r="G5" s="77"/>
    </row>
    <row r="6" spans="1:7">
      <c r="A6" s="530" t="s">
        <v>172</v>
      </c>
      <c r="B6" s="137">
        <v>6.5</v>
      </c>
      <c r="C6" s="79">
        <v>0</v>
      </c>
      <c r="D6" s="80">
        <v>0</v>
      </c>
      <c r="E6" s="80">
        <v>0</v>
      </c>
      <c r="F6" s="81">
        <v>0</v>
      </c>
      <c r="G6" s="81">
        <v>0.00769230769230769</v>
      </c>
    </row>
    <row r="7" spans="1:7">
      <c r="A7" s="530" t="s">
        <v>173</v>
      </c>
      <c r="B7" s="137">
        <v>10.4</v>
      </c>
      <c r="C7" s="79">
        <f>B6</f>
        <v>6.5</v>
      </c>
      <c r="D7" s="80">
        <v>0</v>
      </c>
      <c r="E7" s="80">
        <v>0</v>
      </c>
      <c r="F7" s="81">
        <v>0</v>
      </c>
      <c r="G7" s="81">
        <v>0.0538461538461539</v>
      </c>
    </row>
    <row r="8" spans="1:7">
      <c r="A8" s="530" t="s">
        <v>174</v>
      </c>
      <c r="B8" s="137">
        <v>14.8</v>
      </c>
      <c r="C8" s="79">
        <f t="shared" ref="C8:C56" si="0">B7</f>
        <v>10.4</v>
      </c>
      <c r="D8" s="80">
        <v>0</v>
      </c>
      <c r="E8" s="80">
        <v>0</v>
      </c>
      <c r="F8" s="81">
        <v>0</v>
      </c>
      <c r="G8" s="81">
        <v>0.156756756756757</v>
      </c>
    </row>
    <row r="9" spans="1:7">
      <c r="A9" s="530" t="s">
        <v>175</v>
      </c>
      <c r="B9" s="137">
        <v>17.6</v>
      </c>
      <c r="C9" s="79">
        <f t="shared" si="0"/>
        <v>14.8</v>
      </c>
      <c r="D9" s="80">
        <v>0</v>
      </c>
      <c r="E9" s="80">
        <v>0</v>
      </c>
      <c r="F9" s="81">
        <v>0</v>
      </c>
      <c r="G9" s="81">
        <v>0.195454545454545</v>
      </c>
    </row>
    <row r="10" spans="1:7">
      <c r="A10" s="530" t="s">
        <v>176</v>
      </c>
      <c r="B10" s="137">
        <v>20.2</v>
      </c>
      <c r="C10" s="79">
        <f t="shared" si="0"/>
        <v>17.6</v>
      </c>
      <c r="D10" s="80">
        <v>0</v>
      </c>
      <c r="E10" s="80">
        <v>0</v>
      </c>
      <c r="F10" s="81">
        <v>0</v>
      </c>
      <c r="G10" s="81">
        <v>0.221782178217822</v>
      </c>
    </row>
    <row r="11" spans="1:7">
      <c r="A11" s="530" t="s">
        <v>177</v>
      </c>
      <c r="B11" s="137">
        <v>22.2</v>
      </c>
      <c r="C11" s="79">
        <f t="shared" si="0"/>
        <v>20.2</v>
      </c>
      <c r="D11" s="80">
        <v>0</v>
      </c>
      <c r="E11" s="80">
        <v>0</v>
      </c>
      <c r="F11" s="81">
        <v>0</v>
      </c>
      <c r="G11" s="81">
        <v>0.237837837837838</v>
      </c>
    </row>
    <row r="12" spans="1:7">
      <c r="A12" s="530" t="s">
        <v>178</v>
      </c>
      <c r="B12" s="137">
        <v>24.9</v>
      </c>
      <c r="C12" s="79">
        <f t="shared" si="0"/>
        <v>22.2</v>
      </c>
      <c r="D12" s="80">
        <v>0</v>
      </c>
      <c r="E12" s="80">
        <v>0</v>
      </c>
      <c r="F12" s="81">
        <v>0</v>
      </c>
      <c r="G12" s="81">
        <v>0.255421686746988</v>
      </c>
    </row>
    <row r="13" spans="1:7">
      <c r="A13" s="78" t="s">
        <v>179</v>
      </c>
      <c r="B13" s="137">
        <v>28.1</v>
      </c>
      <c r="C13" s="79">
        <f t="shared" si="0"/>
        <v>24.9</v>
      </c>
      <c r="D13" s="80">
        <v>0</v>
      </c>
      <c r="E13" s="80">
        <v>0</v>
      </c>
      <c r="F13" s="81">
        <v>0</v>
      </c>
      <c r="G13" s="81">
        <v>0.271886120996441</v>
      </c>
    </row>
    <row r="14" spans="1:7">
      <c r="A14" s="78" t="s">
        <v>180</v>
      </c>
      <c r="B14" s="137">
        <v>29.6</v>
      </c>
      <c r="C14" s="79">
        <f t="shared" si="0"/>
        <v>28.1</v>
      </c>
      <c r="D14" s="80">
        <v>0</v>
      </c>
      <c r="E14" s="80">
        <v>0</v>
      </c>
      <c r="F14" s="81">
        <v>0</v>
      </c>
      <c r="G14" s="81">
        <v>0.278378378378378</v>
      </c>
    </row>
    <row r="15" spans="1:7">
      <c r="A15" s="78" t="s">
        <v>181</v>
      </c>
      <c r="B15" s="137">
        <v>31.5</v>
      </c>
      <c r="C15" s="79">
        <f t="shared" si="0"/>
        <v>29.6</v>
      </c>
      <c r="D15" s="80">
        <v>0</v>
      </c>
      <c r="E15" s="80">
        <v>0</v>
      </c>
      <c r="F15" s="81">
        <v>0</v>
      </c>
      <c r="G15" s="81">
        <v>0.285714285714286</v>
      </c>
    </row>
    <row r="16" spans="1:7">
      <c r="A16" s="78" t="s">
        <v>182</v>
      </c>
      <c r="B16" s="137">
        <v>33</v>
      </c>
      <c r="C16" s="79">
        <f t="shared" si="0"/>
        <v>31.5</v>
      </c>
      <c r="D16" s="80">
        <v>0</v>
      </c>
      <c r="E16" s="80">
        <v>0</v>
      </c>
      <c r="F16" s="81">
        <v>0</v>
      </c>
      <c r="G16" s="81">
        <v>0.290909090909091</v>
      </c>
    </row>
    <row r="17" spans="1:7">
      <c r="A17" s="78" t="s">
        <v>183</v>
      </c>
      <c r="B17" s="137">
        <v>34.5</v>
      </c>
      <c r="C17" s="79">
        <f t="shared" si="0"/>
        <v>33</v>
      </c>
      <c r="D17" s="80">
        <v>0</v>
      </c>
      <c r="E17" s="80">
        <v>0</v>
      </c>
      <c r="F17" s="81">
        <v>0</v>
      </c>
      <c r="G17" s="81">
        <v>0.295652173913043</v>
      </c>
    </row>
    <row r="18" spans="1:7">
      <c r="A18" s="78" t="s">
        <v>184</v>
      </c>
      <c r="B18" s="137">
        <v>36.5</v>
      </c>
      <c r="C18" s="79">
        <f t="shared" si="0"/>
        <v>34.5</v>
      </c>
      <c r="D18" s="80">
        <v>0</v>
      </c>
      <c r="E18" s="80">
        <v>0</v>
      </c>
      <c r="F18" s="81">
        <v>0</v>
      </c>
      <c r="G18" s="81">
        <v>0.301369863013699</v>
      </c>
    </row>
    <row r="19" spans="1:7">
      <c r="A19" s="78" t="s">
        <v>185</v>
      </c>
      <c r="B19" s="137">
        <v>39.6</v>
      </c>
      <c r="C19" s="79">
        <f t="shared" si="0"/>
        <v>36.5</v>
      </c>
      <c r="D19" s="80">
        <v>0</v>
      </c>
      <c r="E19" s="80">
        <v>0</v>
      </c>
      <c r="F19" s="81">
        <v>0.00339898989898989</v>
      </c>
      <c r="G19" s="81">
        <v>0.309090909090909</v>
      </c>
    </row>
    <row r="20" spans="1:7">
      <c r="A20" s="78" t="s">
        <v>186</v>
      </c>
      <c r="B20" s="137">
        <v>41</v>
      </c>
      <c r="C20" s="79">
        <f t="shared" si="0"/>
        <v>39.6</v>
      </c>
      <c r="D20" s="80">
        <v>0</v>
      </c>
      <c r="E20" s="80">
        <v>0</v>
      </c>
      <c r="F20" s="81">
        <v>0.00669756097560974</v>
      </c>
      <c r="G20" s="81">
        <v>0.31219512195122</v>
      </c>
    </row>
    <row r="21" spans="1:7">
      <c r="A21" s="78" t="s">
        <v>187</v>
      </c>
      <c r="B21" s="137">
        <v>42.6</v>
      </c>
      <c r="C21" s="79">
        <f t="shared" si="0"/>
        <v>41</v>
      </c>
      <c r="D21" s="80">
        <v>0.0345774647887324</v>
      </c>
      <c r="E21" s="80"/>
      <c r="F21" s="81">
        <v>0.0102018779342723</v>
      </c>
      <c r="G21" s="81">
        <v>0.315492957746479</v>
      </c>
    </row>
    <row r="22" spans="1:7">
      <c r="A22" s="78" t="s">
        <v>188</v>
      </c>
      <c r="B22" s="137">
        <v>43.8</v>
      </c>
      <c r="C22" s="79">
        <f t="shared" si="0"/>
        <v>42.6</v>
      </c>
      <c r="D22" s="80">
        <v>0.0610273972602739</v>
      </c>
      <c r="E22" s="80"/>
      <c r="F22" s="81">
        <v>0.012662100456621</v>
      </c>
      <c r="G22" s="81">
        <v>0.317808219178082</v>
      </c>
    </row>
    <row r="23" spans="1:7">
      <c r="A23" s="78" t="s">
        <v>189</v>
      </c>
      <c r="B23" s="137">
        <v>45.5</v>
      </c>
      <c r="C23" s="79">
        <f t="shared" si="0"/>
        <v>43.8</v>
      </c>
      <c r="D23" s="80">
        <v>0.0961098901098901</v>
      </c>
      <c r="E23" s="80">
        <v>0.00961098901098901</v>
      </c>
      <c r="F23" s="81">
        <v>0.0159252747252747</v>
      </c>
      <c r="G23" s="81">
        <v>0.320879120879121</v>
      </c>
    </row>
    <row r="24" spans="1:7">
      <c r="A24" s="78" t="s">
        <v>190</v>
      </c>
      <c r="B24" s="79">
        <v>46.9</v>
      </c>
      <c r="C24" s="79">
        <f t="shared" si="0"/>
        <v>45.5</v>
      </c>
      <c r="D24" s="80">
        <v>0.123091684434968</v>
      </c>
      <c r="E24" s="80">
        <v>0.0123091684434968</v>
      </c>
      <c r="F24" s="81">
        <v>0.0184349680170576</v>
      </c>
      <c r="G24" s="81">
        <v>0.323240938166311</v>
      </c>
    </row>
    <row r="25" spans="1:7">
      <c r="A25" s="78" t="s">
        <v>191</v>
      </c>
      <c r="B25" s="137">
        <v>48.2</v>
      </c>
      <c r="C25" s="79">
        <f t="shared" si="0"/>
        <v>46.9</v>
      </c>
      <c r="D25" s="80">
        <v>0.146742738589212</v>
      </c>
      <c r="E25" s="80">
        <v>0.0146742738589212</v>
      </c>
      <c r="F25" s="81">
        <v>0.0206348547717842</v>
      </c>
      <c r="G25" s="81">
        <v>0.325311203319502</v>
      </c>
    </row>
    <row r="26" spans="1:7">
      <c r="A26" s="78" t="s">
        <v>192</v>
      </c>
      <c r="B26" s="137">
        <v>49.4</v>
      </c>
      <c r="C26" s="79">
        <f t="shared" si="0"/>
        <v>48.2</v>
      </c>
      <c r="D26" s="80">
        <v>0.16746963562753</v>
      </c>
      <c r="E26" s="80">
        <v>0.016746963562753</v>
      </c>
      <c r="F26" s="81">
        <v>0.0225627530364372</v>
      </c>
      <c r="G26" s="81">
        <v>0.327125506072874</v>
      </c>
    </row>
    <row r="27" spans="1:7">
      <c r="A27" s="78" t="s">
        <v>193</v>
      </c>
      <c r="B27" s="137">
        <v>50.7</v>
      </c>
      <c r="C27" s="79">
        <f t="shared" si="0"/>
        <v>49.4</v>
      </c>
      <c r="D27" s="80">
        <v>0.188816568047337</v>
      </c>
      <c r="E27" s="80">
        <v>0.0188816568047337</v>
      </c>
      <c r="F27" s="81">
        <v>0.0245483234714004</v>
      </c>
      <c r="G27" s="81">
        <v>0.328994082840237</v>
      </c>
    </row>
    <row r="28" spans="1:7">
      <c r="A28" s="78" t="s">
        <v>194</v>
      </c>
      <c r="B28" s="137">
        <v>52.7</v>
      </c>
      <c r="C28" s="79">
        <f t="shared" si="0"/>
        <v>50.7</v>
      </c>
      <c r="D28" s="80">
        <v>0.219601518026565</v>
      </c>
      <c r="E28" s="80">
        <v>0.0219601518026565</v>
      </c>
      <c r="F28" s="81">
        <v>0.0274117647058824</v>
      </c>
      <c r="G28" s="81">
        <v>0.33168880455408</v>
      </c>
    </row>
    <row r="29" spans="1:7">
      <c r="A29" s="78" t="s">
        <v>195</v>
      </c>
      <c r="B29" s="137">
        <v>54.2</v>
      </c>
      <c r="C29" s="79">
        <f t="shared" si="0"/>
        <v>52.7</v>
      </c>
      <c r="D29" s="80">
        <v>0.24119926199262</v>
      </c>
      <c r="E29" s="80">
        <v>0.024119926199262</v>
      </c>
      <c r="F29" s="81">
        <v>0.0294206642066421</v>
      </c>
      <c r="G29" s="81">
        <v>0.333579335793358</v>
      </c>
    </row>
    <row r="30" spans="1:7">
      <c r="A30" s="78" t="s">
        <v>196</v>
      </c>
      <c r="B30" s="137">
        <v>55.7</v>
      </c>
      <c r="C30" s="79">
        <f t="shared" si="0"/>
        <v>54.2</v>
      </c>
      <c r="D30" s="80">
        <v>0.261633752244165</v>
      </c>
      <c r="E30" s="80">
        <v>0.0261633752244165</v>
      </c>
      <c r="F30" s="81">
        <v>0.0313213644524237</v>
      </c>
      <c r="G30" s="81">
        <v>0.335368043087971</v>
      </c>
    </row>
    <row r="31" spans="1:7">
      <c r="A31" s="78" t="s">
        <v>197</v>
      </c>
      <c r="B31" s="137">
        <v>57.5</v>
      </c>
      <c r="C31" s="79">
        <f t="shared" si="0"/>
        <v>55.7</v>
      </c>
      <c r="D31" s="80">
        <v>0.284747826086956</v>
      </c>
      <c r="E31" s="80">
        <v>0.0284747826086956</v>
      </c>
      <c r="F31" s="81">
        <v>0.0334713043478261</v>
      </c>
      <c r="G31" s="81">
        <v>0.337391304347826</v>
      </c>
    </row>
    <row r="32" spans="1:7">
      <c r="A32" s="78" t="s">
        <v>198</v>
      </c>
      <c r="B32" s="137">
        <v>60.5</v>
      </c>
      <c r="C32" s="79">
        <f t="shared" si="0"/>
        <v>57.5</v>
      </c>
      <c r="D32" s="80">
        <v>0.320214876033058</v>
      </c>
      <c r="E32" s="80">
        <v>0.0320214876033058</v>
      </c>
      <c r="F32" s="81">
        <v>0.0367702479338843</v>
      </c>
      <c r="G32" s="81">
        <v>0.340495867768595</v>
      </c>
    </row>
    <row r="33" spans="1:7">
      <c r="A33" s="78" t="s">
        <v>199</v>
      </c>
      <c r="B33" s="137">
        <v>63.7</v>
      </c>
      <c r="C33" s="79">
        <f t="shared" si="0"/>
        <v>60.5</v>
      </c>
      <c r="D33" s="80">
        <v>0.35436420722135</v>
      </c>
      <c r="E33" s="80">
        <v>0.035436420722135</v>
      </c>
      <c r="F33" s="81">
        <v>0.0399466248037677</v>
      </c>
      <c r="G33" s="81">
        <v>0.343485086342229</v>
      </c>
    </row>
    <row r="34" spans="1:7">
      <c r="A34" s="78" t="s">
        <v>200</v>
      </c>
      <c r="B34" s="137">
        <v>66.6</v>
      </c>
      <c r="C34" s="79">
        <f t="shared" si="0"/>
        <v>63.7</v>
      </c>
      <c r="D34" s="80">
        <v>0.382477477477477</v>
      </c>
      <c r="E34" s="80">
        <v>0.0382477477477477</v>
      </c>
      <c r="F34" s="81">
        <v>0.0553693693693693</v>
      </c>
      <c r="G34" s="81">
        <v>0.345945945945946</v>
      </c>
    </row>
    <row r="35" spans="1:7">
      <c r="A35" s="78" t="s">
        <v>201</v>
      </c>
      <c r="B35" s="137">
        <v>71</v>
      </c>
      <c r="C35" s="79">
        <f t="shared" si="0"/>
        <v>66.6</v>
      </c>
      <c r="D35" s="80">
        <v>0.420746478873239</v>
      </c>
      <c r="E35" s="80">
        <v>0.0524478873239437</v>
      </c>
      <c r="F35" s="81">
        <v>0.0767267605633802</v>
      </c>
      <c r="G35" s="81">
        <v>0.349295774647887</v>
      </c>
    </row>
    <row r="36" spans="1:7">
      <c r="A36" s="78" t="s">
        <v>202</v>
      </c>
      <c r="B36" s="137">
        <v>73.7</v>
      </c>
      <c r="C36" s="79">
        <f t="shared" si="0"/>
        <v>71</v>
      </c>
      <c r="D36" s="80">
        <v>0.441967435549525</v>
      </c>
      <c r="E36" s="80">
        <v>0.0651804613297151</v>
      </c>
      <c r="F36" s="81">
        <v>0.0885698778833107</v>
      </c>
      <c r="G36" s="81">
        <v>0.351153324287653</v>
      </c>
    </row>
    <row r="37" spans="1:7">
      <c r="A37" s="78" t="s">
        <v>203</v>
      </c>
      <c r="B37" s="137">
        <v>77.7</v>
      </c>
      <c r="C37" s="79">
        <f t="shared" si="0"/>
        <v>73.7</v>
      </c>
      <c r="D37" s="80">
        <v>0.470694980694981</v>
      </c>
      <c r="E37" s="80">
        <v>0.0824169884169884</v>
      </c>
      <c r="F37" s="81">
        <v>0.104602316602317</v>
      </c>
      <c r="G37" s="81">
        <v>0.353667953667954</v>
      </c>
    </row>
    <row r="38" spans="1:7">
      <c r="A38" s="78" t="s">
        <v>204</v>
      </c>
      <c r="B38" s="137">
        <v>81</v>
      </c>
      <c r="C38" s="79">
        <f t="shared" si="0"/>
        <v>77.7</v>
      </c>
      <c r="D38" s="80">
        <v>0.492259259259259</v>
      </c>
      <c r="E38" s="80">
        <v>0.0953555555555555</v>
      </c>
      <c r="F38" s="81">
        <v>0.116637037037037</v>
      </c>
      <c r="G38" s="81">
        <v>0.355555555555556</v>
      </c>
    </row>
    <row r="39" spans="1:7">
      <c r="A39" s="78" t="s">
        <v>205</v>
      </c>
      <c r="B39" s="137">
        <v>83.6</v>
      </c>
      <c r="C39" s="79">
        <f t="shared" si="0"/>
        <v>81</v>
      </c>
      <c r="D39" s="80">
        <v>0.50805023923445</v>
      </c>
      <c r="E39" s="80">
        <v>0.10483014354067</v>
      </c>
      <c r="F39" s="81">
        <v>0.12544976076555</v>
      </c>
      <c r="G39" s="81">
        <v>0.356937799043062</v>
      </c>
    </row>
    <row r="40" spans="1:7">
      <c r="A40" s="78" t="s">
        <v>206</v>
      </c>
      <c r="B40" s="137">
        <v>88.5</v>
      </c>
      <c r="C40" s="79">
        <f t="shared" si="0"/>
        <v>83.6</v>
      </c>
      <c r="D40" s="80">
        <v>0.53528813559322</v>
      </c>
      <c r="E40" s="80">
        <v>0.121172881355932</v>
      </c>
      <c r="F40" s="81">
        <v>0.140650847457627</v>
      </c>
      <c r="G40" s="81">
        <v>0.359322033898305</v>
      </c>
    </row>
    <row r="41" spans="1:7">
      <c r="A41" s="78" t="s">
        <v>207</v>
      </c>
      <c r="B41" s="137">
        <v>91.3</v>
      </c>
      <c r="C41" s="79">
        <f t="shared" si="0"/>
        <v>88.5</v>
      </c>
      <c r="D41" s="80">
        <v>0.549539978094195</v>
      </c>
      <c r="E41" s="80">
        <v>0.129723986856517</v>
      </c>
      <c r="F41" s="81">
        <v>0.148604600219058</v>
      </c>
      <c r="G41" s="81">
        <v>0.360569550930997</v>
      </c>
    </row>
    <row r="42" spans="1:7">
      <c r="A42" s="78" t="s">
        <v>208</v>
      </c>
      <c r="B42" s="137">
        <v>97.4</v>
      </c>
      <c r="C42" s="79">
        <f t="shared" si="0"/>
        <v>91.3</v>
      </c>
      <c r="D42" s="80">
        <v>0.577751540041068</v>
      </c>
      <c r="E42" s="80">
        <v>0.146650924024641</v>
      </c>
      <c r="F42" s="81">
        <v>0.164349075975359</v>
      </c>
      <c r="G42" s="81">
        <v>0.363039014373717</v>
      </c>
    </row>
    <row r="43" spans="1:7">
      <c r="A43" s="78" t="s">
        <v>209</v>
      </c>
      <c r="B43" s="137">
        <v>102.4</v>
      </c>
      <c r="C43" s="79">
        <f t="shared" si="0"/>
        <v>97.4</v>
      </c>
      <c r="D43" s="80">
        <v>0.598369140625</v>
      </c>
      <c r="E43" s="80">
        <v>0.159021484375</v>
      </c>
      <c r="F43" s="81">
        <v>0.17585546875</v>
      </c>
      <c r="G43" s="81">
        <v>0.36484375</v>
      </c>
    </row>
    <row r="44" spans="1:7">
      <c r="A44" s="78" t="s">
        <v>210</v>
      </c>
      <c r="B44" s="137">
        <v>108.4</v>
      </c>
      <c r="C44" s="79">
        <f t="shared" si="0"/>
        <v>102.4</v>
      </c>
      <c r="D44" s="80">
        <v>0.62059963099631</v>
      </c>
      <c r="E44" s="80">
        <v>0.172359778597786</v>
      </c>
      <c r="F44" s="81">
        <v>0.188261992619926</v>
      </c>
      <c r="G44" s="81">
        <v>0.366789667896679</v>
      </c>
    </row>
    <row r="45" spans="1:7">
      <c r="A45" s="78" t="s">
        <v>211</v>
      </c>
      <c r="B45" s="137">
        <v>115.1</v>
      </c>
      <c r="C45" s="79">
        <f t="shared" si="0"/>
        <v>108.4</v>
      </c>
      <c r="D45" s="80">
        <v>0.642684622067767</v>
      </c>
      <c r="E45" s="80">
        <v>0.18561077324066</v>
      </c>
      <c r="F45" s="81">
        <v>0.200587315377932</v>
      </c>
      <c r="G45" s="81">
        <v>0.368722849695917</v>
      </c>
    </row>
    <row r="46" spans="1:7">
      <c r="A46" s="78" t="s">
        <v>212</v>
      </c>
      <c r="B46" s="137">
        <v>121.6</v>
      </c>
      <c r="C46" s="79">
        <f t="shared" si="0"/>
        <v>115.1</v>
      </c>
      <c r="D46" s="80">
        <v>0.661784539473684</v>
      </c>
      <c r="E46" s="80">
        <v>0.197070723684211</v>
      </c>
      <c r="F46" s="81">
        <v>0.211246710526316</v>
      </c>
      <c r="G46" s="81">
        <v>0.370394736842105</v>
      </c>
    </row>
    <row r="47" spans="1:7">
      <c r="A47" s="78" t="s">
        <v>213</v>
      </c>
      <c r="B47" s="137">
        <v>129.6</v>
      </c>
      <c r="C47" s="79">
        <f t="shared" si="0"/>
        <v>121.6</v>
      </c>
      <c r="D47" s="80">
        <v>0.682662037037037</v>
      </c>
      <c r="E47" s="80">
        <v>0.209597222222222</v>
      </c>
      <c r="F47" s="81">
        <v>0.222898148148148</v>
      </c>
      <c r="G47" s="81">
        <v>0.372222222222222</v>
      </c>
    </row>
    <row r="48" spans="1:7">
      <c r="A48" s="78" t="s">
        <v>214</v>
      </c>
      <c r="B48" s="137">
        <v>137.5</v>
      </c>
      <c r="C48" s="79">
        <f t="shared" si="0"/>
        <v>129.6</v>
      </c>
      <c r="D48" s="80">
        <v>0.700894545454545</v>
      </c>
      <c r="E48" s="80">
        <v>0.220536727272727</v>
      </c>
      <c r="F48" s="81">
        <v>0.233073454545455</v>
      </c>
      <c r="G48" s="81">
        <v>0.373818181818182</v>
      </c>
    </row>
    <row r="49" spans="1:7">
      <c r="A49" s="78" t="s">
        <v>215</v>
      </c>
      <c r="B49" s="137">
        <v>146.1</v>
      </c>
      <c r="C49" s="79">
        <f t="shared" si="0"/>
        <v>137.5</v>
      </c>
      <c r="D49" s="80">
        <v>0.718501026694045</v>
      </c>
      <c r="E49" s="80">
        <v>0.231100616016427</v>
      </c>
      <c r="F49" s="81">
        <v>0.242899383983573</v>
      </c>
      <c r="G49" s="81">
        <v>0.375359342915811</v>
      </c>
    </row>
    <row r="50" spans="1:7">
      <c r="A50" s="78" t="s">
        <v>216</v>
      </c>
      <c r="B50" s="137">
        <v>158</v>
      </c>
      <c r="C50" s="79">
        <f t="shared" si="0"/>
        <v>146.1</v>
      </c>
      <c r="D50" s="80">
        <v>0.73970253164557</v>
      </c>
      <c r="E50" s="80">
        <v>0.243821518987342</v>
      </c>
      <c r="F50" s="81">
        <v>0.25473164556962</v>
      </c>
      <c r="G50" s="81">
        <v>0.377215189873418</v>
      </c>
    </row>
    <row r="51" spans="1:7">
      <c r="A51" s="78" t="s">
        <v>217</v>
      </c>
      <c r="B51" s="137">
        <v>177.6</v>
      </c>
      <c r="C51" s="79">
        <f t="shared" si="0"/>
        <v>158</v>
      </c>
      <c r="D51" s="80">
        <v>0.768429054054054</v>
      </c>
      <c r="E51" s="80">
        <v>0.261057432432432</v>
      </c>
      <c r="F51" s="81">
        <v>0.270763513513513</v>
      </c>
      <c r="G51" s="81">
        <v>0.37972972972973</v>
      </c>
    </row>
    <row r="52" spans="1:7">
      <c r="A52" s="78" t="s">
        <v>218</v>
      </c>
      <c r="B52" s="137">
        <v>217.9</v>
      </c>
      <c r="C52" s="79">
        <f t="shared" si="0"/>
        <v>177.6</v>
      </c>
      <c r="D52" s="80">
        <v>0.811257457549335</v>
      </c>
      <c r="E52" s="80">
        <v>0.286754474529601</v>
      </c>
      <c r="F52" s="81">
        <v>0.294665442863699</v>
      </c>
      <c r="G52" s="81">
        <v>0.38347865993575</v>
      </c>
    </row>
    <row r="53" spans="1:7">
      <c r="A53" s="78" t="s">
        <v>219</v>
      </c>
      <c r="B53" s="137">
        <v>270.5</v>
      </c>
      <c r="C53" s="79">
        <f t="shared" si="0"/>
        <v>217.9</v>
      </c>
      <c r="D53" s="80">
        <v>0.847959334565619</v>
      </c>
      <c r="E53" s="80">
        <v>0.308775600739371</v>
      </c>
      <c r="F53" s="81">
        <v>0.315148243992606</v>
      </c>
      <c r="G53" s="81">
        <v>0.386691312384473</v>
      </c>
    </row>
    <row r="54" spans="1:7">
      <c r="A54" s="78" t="s">
        <v>220</v>
      </c>
      <c r="B54" s="137">
        <v>391</v>
      </c>
      <c r="C54" s="79">
        <f t="shared" si="0"/>
        <v>270.5</v>
      </c>
      <c r="D54" s="80">
        <v>0.894815856777494</v>
      </c>
      <c r="E54" s="80">
        <v>0.336889514066496</v>
      </c>
      <c r="F54" s="81">
        <v>0.34129820971867</v>
      </c>
      <c r="G54" s="81">
        <v>0.39079283887468</v>
      </c>
    </row>
    <row r="55" spans="1:7">
      <c r="A55" s="78" t="s">
        <v>221</v>
      </c>
      <c r="B55" s="137">
        <v>820</v>
      </c>
      <c r="C55" s="79">
        <f t="shared" si="0"/>
        <v>391</v>
      </c>
      <c r="D55" s="80">
        <v>0.94984512195122</v>
      </c>
      <c r="E55" s="80">
        <v>0.369907073170732</v>
      </c>
      <c r="F55" s="81">
        <v>0.372009268292683</v>
      </c>
      <c r="G55" s="81">
        <v>0.395609756097561</v>
      </c>
    </row>
    <row r="56" spans="1:7">
      <c r="A56" s="78" t="s">
        <v>221</v>
      </c>
      <c r="B56" s="82" t="s">
        <v>379</v>
      </c>
      <c r="C56" s="79">
        <f t="shared" si="0"/>
        <v>820</v>
      </c>
      <c r="D56" s="83">
        <v>49.1</v>
      </c>
      <c r="E56" s="83"/>
      <c r="F56" s="84"/>
      <c r="G56" s="84"/>
    </row>
    <row r="57" spans="1:7">
      <c r="A57" s="78"/>
      <c r="B57" s="288">
        <v>86.35</v>
      </c>
      <c r="C57" s="82"/>
      <c r="D57" s="83"/>
      <c r="E57" s="83">
        <v>68.545</v>
      </c>
      <c r="F57" s="84">
        <v>63.7566666666667</v>
      </c>
      <c r="G57" s="84">
        <v>10</v>
      </c>
    </row>
    <row r="58" spans="1:7">
      <c r="A58" s="78"/>
      <c r="B58" s="288">
        <v>51.81</v>
      </c>
      <c r="C58" s="82"/>
      <c r="D58" s="83"/>
      <c r="E58" s="83">
        <v>41.127</v>
      </c>
      <c r="F58" s="84">
        <v>38.254</v>
      </c>
      <c r="G58" s="84">
        <v>6</v>
      </c>
    </row>
    <row r="59" ht="48" spans="1:10">
      <c r="A59" s="87" t="s">
        <v>224</v>
      </c>
      <c r="B59" s="289">
        <v>86.35</v>
      </c>
      <c r="C59" s="82"/>
      <c r="D59" s="83"/>
      <c r="E59" s="255">
        <f>B63</f>
        <v>68.545</v>
      </c>
      <c r="F59" s="128">
        <f>B64</f>
        <v>63.7566666666667</v>
      </c>
      <c r="G59" s="129"/>
      <c r="I59" s="82"/>
      <c r="J59" s="82"/>
    </row>
    <row r="60" ht="84" spans="1:9">
      <c r="A60" s="106" t="s">
        <v>225</v>
      </c>
      <c r="B60" s="83">
        <f>B59*0.6</f>
        <v>51.81</v>
      </c>
      <c r="C60" s="78"/>
      <c r="D60" s="83"/>
      <c r="E60" s="255">
        <f>0.6*E59</f>
        <v>41.127</v>
      </c>
      <c r="F60" s="84">
        <f>0.6*F59</f>
        <v>38.254</v>
      </c>
      <c r="G60" s="84"/>
      <c r="I60" s="78"/>
    </row>
    <row r="61" spans="1:9">
      <c r="A61" s="290"/>
      <c r="B61" s="107"/>
      <c r="D61" s="107"/>
      <c r="E61" s="291"/>
      <c r="F61" s="292"/>
      <c r="G61" s="292"/>
      <c r="I61" s="293"/>
    </row>
    <row r="62" ht="48.75" spans="1:2">
      <c r="A62" s="256" t="s">
        <v>224</v>
      </c>
      <c r="B62">
        <f>J59</f>
        <v>0</v>
      </c>
    </row>
    <row r="63" spans="1:3">
      <c r="A63" s="531" t="s">
        <v>226</v>
      </c>
      <c r="B63" s="95">
        <f>AVERAGE(B11:B50)</f>
        <v>68.545</v>
      </c>
      <c r="C63" s="95"/>
    </row>
    <row r="64" spans="1:3">
      <c r="A64" s="531" t="s">
        <v>227</v>
      </c>
      <c r="B64" s="96">
        <f>AVERAGE(B16:B45)</f>
        <v>63.7566666666667</v>
      </c>
      <c r="C64" s="96"/>
    </row>
    <row r="65" spans="1:3">
      <c r="A65" s="531" t="s">
        <v>228</v>
      </c>
      <c r="B65" s="96">
        <f>AVERAGE(B22:B40)</f>
        <v>61.6263157894737</v>
      </c>
      <c r="C65" s="96"/>
    </row>
    <row r="69" customHeight="1" spans="1:7">
      <c r="A69" s="83" t="s">
        <v>165</v>
      </c>
      <c r="B69" s="83" t="s">
        <v>229</v>
      </c>
      <c r="C69" s="83"/>
      <c r="D69" s="83"/>
      <c r="E69" s="98">
        <f>(1-E124)^(1/3)-1</f>
        <v>-0.0269143754727047</v>
      </c>
      <c r="F69" s="98">
        <f>(1-F124)^(1/3)-1</f>
        <v>-0.0290255202858001</v>
      </c>
      <c r="G69" s="98"/>
    </row>
    <row r="70" ht="72" spans="1:7">
      <c r="A70" s="83"/>
      <c r="B70" s="83" t="s">
        <v>167</v>
      </c>
      <c r="C70" s="83"/>
      <c r="D70" s="83" t="s">
        <v>168</v>
      </c>
      <c r="E70" s="83" t="s">
        <v>169</v>
      </c>
      <c r="F70" s="84" t="s">
        <v>169</v>
      </c>
      <c r="G70" s="84"/>
    </row>
    <row r="71" ht="24" spans="1:7">
      <c r="A71" s="83"/>
      <c r="B71" s="83" t="s">
        <v>230</v>
      </c>
      <c r="C71" s="83"/>
      <c r="D71" s="83" t="s">
        <v>171</v>
      </c>
      <c r="E71" s="83" t="s">
        <v>171</v>
      </c>
      <c r="F71" s="84" t="s">
        <v>171</v>
      </c>
      <c r="G71" s="84"/>
    </row>
    <row r="72" spans="1:7">
      <c r="A72" s="75">
        <v>1</v>
      </c>
      <c r="B72" s="76">
        <v>2</v>
      </c>
      <c r="C72" s="76"/>
      <c r="D72" s="76">
        <v>3</v>
      </c>
      <c r="E72" s="76">
        <v>4</v>
      </c>
      <c r="F72" s="77">
        <v>5</v>
      </c>
      <c r="G72" s="77"/>
    </row>
    <row r="73" spans="1:7">
      <c r="A73" s="530" t="s">
        <v>172</v>
      </c>
      <c r="B73" s="138">
        <v>15.1</v>
      </c>
      <c r="C73" s="102">
        <v>0</v>
      </c>
      <c r="D73" s="80">
        <v>0</v>
      </c>
      <c r="E73" s="80">
        <v>0</v>
      </c>
      <c r="F73" s="81">
        <v>0</v>
      </c>
      <c r="G73" s="81">
        <v>0</v>
      </c>
    </row>
    <row r="74" spans="1:7">
      <c r="A74" s="530" t="s">
        <v>173</v>
      </c>
      <c r="B74" s="138">
        <v>15.9</v>
      </c>
      <c r="C74" s="79">
        <f>B73</f>
        <v>15.1</v>
      </c>
      <c r="D74" s="80">
        <v>0</v>
      </c>
      <c r="E74" s="80">
        <v>0</v>
      </c>
      <c r="F74" s="81">
        <v>0</v>
      </c>
      <c r="G74" s="81">
        <v>0</v>
      </c>
    </row>
    <row r="75" spans="1:7">
      <c r="A75" s="530" t="s">
        <v>174</v>
      </c>
      <c r="B75" s="138">
        <v>17.9</v>
      </c>
      <c r="C75" s="79">
        <f t="shared" ref="C75:C123" si="1">B74</f>
        <v>15.9</v>
      </c>
      <c r="D75" s="80">
        <v>0</v>
      </c>
      <c r="E75" s="80">
        <v>0</v>
      </c>
      <c r="F75" s="81">
        <v>0</v>
      </c>
      <c r="G75" s="81">
        <v>0</v>
      </c>
    </row>
    <row r="76" spans="1:7">
      <c r="A76" s="530" t="s">
        <v>175</v>
      </c>
      <c r="B76" s="138">
        <v>19.2</v>
      </c>
      <c r="C76" s="79">
        <f t="shared" si="1"/>
        <v>17.9</v>
      </c>
      <c r="D76" s="80">
        <v>0</v>
      </c>
      <c r="E76" s="80">
        <v>0</v>
      </c>
      <c r="F76" s="81">
        <v>0</v>
      </c>
      <c r="G76" s="81">
        <v>0</v>
      </c>
    </row>
    <row r="77" spans="1:7">
      <c r="A77" s="530" t="s">
        <v>176</v>
      </c>
      <c r="B77" s="138">
        <v>21.6</v>
      </c>
      <c r="C77" s="79">
        <f t="shared" si="1"/>
        <v>19.2</v>
      </c>
      <c r="D77" s="80">
        <v>0</v>
      </c>
      <c r="E77" s="80">
        <v>0</v>
      </c>
      <c r="F77" s="81">
        <v>0</v>
      </c>
      <c r="G77" s="81">
        <v>0.00611111111111113</v>
      </c>
    </row>
    <row r="78" spans="1:7">
      <c r="A78" s="530" t="s">
        <v>177</v>
      </c>
      <c r="B78" s="138">
        <v>22.9</v>
      </c>
      <c r="C78" s="79">
        <f t="shared" si="1"/>
        <v>21.6</v>
      </c>
      <c r="D78" s="80">
        <v>0</v>
      </c>
      <c r="E78" s="80">
        <v>0</v>
      </c>
      <c r="F78" s="81">
        <v>0</v>
      </c>
      <c r="G78" s="81">
        <v>0.0114410480349345</v>
      </c>
    </row>
    <row r="79" spans="1:7">
      <c r="A79" s="530" t="s">
        <v>178</v>
      </c>
      <c r="B79" s="138">
        <v>25.3</v>
      </c>
      <c r="C79" s="79">
        <f t="shared" si="1"/>
        <v>22.9</v>
      </c>
      <c r="D79" s="80">
        <v>0</v>
      </c>
      <c r="E79" s="80">
        <v>0</v>
      </c>
      <c r="F79" s="81">
        <v>0</v>
      </c>
      <c r="G79" s="81">
        <v>0.0198418972332016</v>
      </c>
    </row>
    <row r="80" spans="1:7">
      <c r="A80" s="78" t="s">
        <v>179</v>
      </c>
      <c r="B80" s="138">
        <v>27.1</v>
      </c>
      <c r="C80" s="79">
        <f t="shared" si="1"/>
        <v>25.3</v>
      </c>
      <c r="D80" s="80">
        <v>0</v>
      </c>
      <c r="E80" s="80">
        <v>0</v>
      </c>
      <c r="F80" s="81">
        <v>0</v>
      </c>
      <c r="G80" s="81">
        <v>0.0251660516605166</v>
      </c>
    </row>
    <row r="81" spans="1:7">
      <c r="A81" s="78" t="s">
        <v>180</v>
      </c>
      <c r="B81" s="138">
        <v>28.7</v>
      </c>
      <c r="C81" s="79">
        <f t="shared" si="1"/>
        <v>27.1</v>
      </c>
      <c r="D81" s="80">
        <v>0</v>
      </c>
      <c r="E81" s="80">
        <v>0</v>
      </c>
      <c r="F81" s="81">
        <v>0.00262020905923343</v>
      </c>
      <c r="G81" s="81">
        <v>0.0293379790940767</v>
      </c>
    </row>
    <row r="82" spans="1:7">
      <c r="A82" s="78" t="s">
        <v>181</v>
      </c>
      <c r="B82" s="138">
        <v>30.7</v>
      </c>
      <c r="C82" s="79">
        <f t="shared" si="1"/>
        <v>28.7</v>
      </c>
      <c r="D82" s="80">
        <v>0.0503583061889252</v>
      </c>
      <c r="E82" s="80"/>
      <c r="F82" s="81">
        <v>0.00896416938110748</v>
      </c>
      <c r="G82" s="81">
        <v>0.0339413680781759</v>
      </c>
    </row>
    <row r="83" spans="1:7">
      <c r="A83" s="78" t="s">
        <v>182</v>
      </c>
      <c r="B83" s="138">
        <v>31.9</v>
      </c>
      <c r="C83" s="79">
        <f t="shared" si="1"/>
        <v>30.7</v>
      </c>
      <c r="D83" s="80">
        <v>0.0860815047021944</v>
      </c>
      <c r="E83" s="80"/>
      <c r="F83" s="81">
        <v>0.0123887147335423</v>
      </c>
      <c r="G83" s="81">
        <v>0.0364263322884013</v>
      </c>
    </row>
    <row r="84" spans="1:7">
      <c r="A84" s="78" t="s">
        <v>183</v>
      </c>
      <c r="B84" s="138">
        <v>32.8</v>
      </c>
      <c r="C84" s="79">
        <f t="shared" si="1"/>
        <v>31.9</v>
      </c>
      <c r="D84" s="80">
        <v>0.111158536585366</v>
      </c>
      <c r="E84" s="80">
        <v>0.0111158536585366</v>
      </c>
      <c r="F84" s="81">
        <v>0.0147926829268293</v>
      </c>
      <c r="G84" s="81">
        <v>0.0381707317073171</v>
      </c>
    </row>
    <row r="85" spans="1:7">
      <c r="A85" s="78" t="s">
        <v>184</v>
      </c>
      <c r="B85" s="138">
        <v>33.5</v>
      </c>
      <c r="C85" s="79">
        <f t="shared" si="1"/>
        <v>32.8</v>
      </c>
      <c r="D85" s="80">
        <v>0.129731343283582</v>
      </c>
      <c r="E85" s="80">
        <v>0.0129731343283582</v>
      </c>
      <c r="F85" s="81">
        <v>0.0165731343283582</v>
      </c>
      <c r="G85" s="81">
        <v>0.0394626865671642</v>
      </c>
    </row>
    <row r="86" spans="1:7">
      <c r="A86" s="78" t="s">
        <v>185</v>
      </c>
      <c r="B86" s="138">
        <v>34.3</v>
      </c>
      <c r="C86" s="79">
        <f t="shared" si="1"/>
        <v>33.5</v>
      </c>
      <c r="D86" s="80">
        <v>0.15002915451895</v>
      </c>
      <c r="E86" s="80">
        <v>0.015002915451895</v>
      </c>
      <c r="F86" s="81">
        <v>0.0185189504373178</v>
      </c>
      <c r="G86" s="81">
        <v>0.0452478134110787</v>
      </c>
    </row>
    <row r="87" spans="1:7">
      <c r="A87" s="78" t="s">
        <v>186</v>
      </c>
      <c r="B87" s="138">
        <v>34.8</v>
      </c>
      <c r="C87" s="79">
        <f t="shared" si="1"/>
        <v>34.3</v>
      </c>
      <c r="D87" s="80">
        <v>0.162241379310345</v>
      </c>
      <c r="E87" s="80">
        <v>0.0162241379310345</v>
      </c>
      <c r="F87" s="81">
        <v>0.0196896551724138</v>
      </c>
      <c r="G87" s="81">
        <v>0.0503448275862069</v>
      </c>
    </row>
    <row r="88" spans="1:7">
      <c r="A88" s="78" t="s">
        <v>187</v>
      </c>
      <c r="B88" s="138">
        <v>35.4</v>
      </c>
      <c r="C88" s="79">
        <f t="shared" si="1"/>
        <v>34.8</v>
      </c>
      <c r="D88" s="80">
        <v>0.176440677966102</v>
      </c>
      <c r="E88" s="80">
        <v>0.0176440677966102</v>
      </c>
      <c r="F88" s="81">
        <v>0.0210508474576271</v>
      </c>
      <c r="G88" s="81">
        <v>0.056271186440678</v>
      </c>
    </row>
    <row r="89" spans="1:7">
      <c r="A89" s="78" t="s">
        <v>188</v>
      </c>
      <c r="B89" s="138">
        <v>36.3</v>
      </c>
      <c r="C89" s="79">
        <f t="shared" si="1"/>
        <v>35.4</v>
      </c>
      <c r="D89" s="80">
        <v>0.196859504132231</v>
      </c>
      <c r="E89" s="80">
        <v>0.0196859504132231</v>
      </c>
      <c r="F89" s="81">
        <v>0.0230082644628099</v>
      </c>
      <c r="G89" s="81">
        <v>0.0647933884297521</v>
      </c>
    </row>
    <row r="90" spans="1:7">
      <c r="A90" s="78" t="s">
        <v>189</v>
      </c>
      <c r="B90" s="138">
        <v>37.7</v>
      </c>
      <c r="C90" s="79">
        <f t="shared" si="1"/>
        <v>36.3</v>
      </c>
      <c r="D90" s="80">
        <v>0.226684350132626</v>
      </c>
      <c r="E90" s="80">
        <v>0.0226684350132626</v>
      </c>
      <c r="F90" s="81">
        <v>0.025867374005305</v>
      </c>
      <c r="G90" s="81">
        <v>0.0772413793103449</v>
      </c>
    </row>
    <row r="91" spans="1:7">
      <c r="A91" s="78" t="s">
        <v>190</v>
      </c>
      <c r="B91" s="138">
        <v>38.5</v>
      </c>
      <c r="C91" s="79">
        <f t="shared" si="1"/>
        <v>37.7</v>
      </c>
      <c r="D91" s="80">
        <v>0.242753246753247</v>
      </c>
      <c r="E91" s="80">
        <v>0.0242753246753247</v>
      </c>
      <c r="F91" s="81">
        <v>0.0274077922077922</v>
      </c>
      <c r="G91" s="81">
        <v>0.083948051948052</v>
      </c>
    </row>
    <row r="92" spans="1:7">
      <c r="A92" s="78" t="s">
        <v>191</v>
      </c>
      <c r="B92" s="138">
        <v>39.3</v>
      </c>
      <c r="C92" s="79">
        <f t="shared" si="1"/>
        <v>38.5</v>
      </c>
      <c r="D92" s="80">
        <v>0.258167938931298</v>
      </c>
      <c r="E92" s="80">
        <v>0.0258167938931298</v>
      </c>
      <c r="F92" s="81">
        <v>0.0288854961832061</v>
      </c>
      <c r="G92" s="81">
        <v>0.090381679389313</v>
      </c>
    </row>
    <row r="93" spans="1:7">
      <c r="A93" s="78" t="s">
        <v>192</v>
      </c>
      <c r="B93" s="138">
        <v>40.5</v>
      </c>
      <c r="C93" s="79">
        <f t="shared" si="1"/>
        <v>39.3</v>
      </c>
      <c r="D93" s="80">
        <v>0.280148148148148</v>
      </c>
      <c r="E93" s="80">
        <v>0.0280148148148148</v>
      </c>
      <c r="F93" s="81">
        <v>0.0309925925925926</v>
      </c>
      <c r="G93" s="81">
        <v>0.0995555555555556</v>
      </c>
    </row>
    <row r="94" spans="1:7">
      <c r="A94" s="78" t="s">
        <v>193</v>
      </c>
      <c r="B94" s="138">
        <v>41.5</v>
      </c>
      <c r="C94" s="79">
        <f t="shared" si="1"/>
        <v>40.5</v>
      </c>
      <c r="D94" s="80">
        <v>0.297493975903615</v>
      </c>
      <c r="E94" s="80">
        <v>0.0297493975903615</v>
      </c>
      <c r="F94" s="81">
        <v>0.032655421686747</v>
      </c>
      <c r="G94" s="81">
        <v>0.106795180722892</v>
      </c>
    </row>
    <row r="95" spans="1:7">
      <c r="A95" s="78" t="s">
        <v>194</v>
      </c>
      <c r="B95" s="138">
        <v>42.9</v>
      </c>
      <c r="C95" s="79">
        <f t="shared" si="1"/>
        <v>41.5</v>
      </c>
      <c r="D95" s="80">
        <v>0.32041958041958</v>
      </c>
      <c r="E95" s="80">
        <v>0.0320419580419581</v>
      </c>
      <c r="F95" s="81">
        <v>0.0348531468531468</v>
      </c>
      <c r="G95" s="81">
        <v>0.116363636363636</v>
      </c>
    </row>
    <row r="96" spans="1:7">
      <c r="A96" s="78" t="s">
        <v>195</v>
      </c>
      <c r="B96" s="138">
        <v>44</v>
      </c>
      <c r="C96" s="79">
        <f t="shared" si="1"/>
        <v>42.9</v>
      </c>
      <c r="D96" s="80">
        <v>0.337409090909091</v>
      </c>
      <c r="E96" s="80">
        <v>0.0337409090909091</v>
      </c>
      <c r="F96" s="81">
        <v>0.0364818181818182</v>
      </c>
      <c r="G96" s="81">
        <v>0.123454545454545</v>
      </c>
    </row>
    <row r="97" spans="1:7">
      <c r="A97" s="78" t="s">
        <v>196</v>
      </c>
      <c r="B97" s="138">
        <v>45.2</v>
      </c>
      <c r="C97" s="79">
        <f t="shared" si="1"/>
        <v>44</v>
      </c>
      <c r="D97" s="80">
        <v>0.355</v>
      </c>
      <c r="E97" s="80">
        <v>0.0355</v>
      </c>
      <c r="F97" s="81">
        <v>0.0381681415929204</v>
      </c>
      <c r="G97" s="81">
        <v>0.130796460176991</v>
      </c>
    </row>
    <row r="98" spans="1:7">
      <c r="A98" s="78" t="s">
        <v>197</v>
      </c>
      <c r="B98" s="138">
        <v>46.3</v>
      </c>
      <c r="C98" s="79">
        <f t="shared" si="1"/>
        <v>45.2</v>
      </c>
      <c r="D98" s="80">
        <v>0.370323974082073</v>
      </c>
      <c r="E98" s="80">
        <v>0.0370323974082074</v>
      </c>
      <c r="F98" s="81">
        <v>0.0396371490280777</v>
      </c>
      <c r="G98" s="81">
        <v>0.13719222462203</v>
      </c>
    </row>
    <row r="99" spans="1:7">
      <c r="A99" s="78" t="s">
        <v>198</v>
      </c>
      <c r="B99" s="138">
        <v>47.6</v>
      </c>
      <c r="C99" s="79">
        <f t="shared" si="1"/>
        <v>46.3</v>
      </c>
      <c r="D99" s="80">
        <v>0.387521008403361</v>
      </c>
      <c r="E99" s="80">
        <v>0.0387521008403361</v>
      </c>
      <c r="F99" s="81">
        <v>0.0477142857142857</v>
      </c>
      <c r="G99" s="81">
        <v>0.14436974789916</v>
      </c>
    </row>
    <row r="100" spans="1:7">
      <c r="A100" s="78" t="s">
        <v>199</v>
      </c>
      <c r="B100" s="138">
        <v>48.2</v>
      </c>
      <c r="C100" s="79">
        <f t="shared" si="1"/>
        <v>47.6</v>
      </c>
      <c r="D100" s="80">
        <v>0.395145228215768</v>
      </c>
      <c r="E100" s="80">
        <v>0.0395145228215768</v>
      </c>
      <c r="F100" s="81">
        <v>0.0520995850622406</v>
      </c>
      <c r="G100" s="81">
        <v>0.147551867219917</v>
      </c>
    </row>
    <row r="101" spans="1:7">
      <c r="A101" s="78" t="s">
        <v>200</v>
      </c>
      <c r="B101" s="138">
        <v>49</v>
      </c>
      <c r="C101" s="79">
        <f t="shared" si="1"/>
        <v>48.2</v>
      </c>
      <c r="D101" s="80">
        <v>0.405020408163265</v>
      </c>
      <c r="E101" s="80">
        <v>0.0430122448979592</v>
      </c>
      <c r="F101" s="81">
        <v>0.0577795918367347</v>
      </c>
      <c r="G101" s="81">
        <v>0.151673469387755</v>
      </c>
    </row>
    <row r="102" spans="1:7">
      <c r="A102" s="78" t="s">
        <v>201</v>
      </c>
      <c r="B102" s="138">
        <v>49.7</v>
      </c>
      <c r="C102" s="79">
        <f t="shared" si="1"/>
        <v>49</v>
      </c>
      <c r="D102" s="80">
        <v>0.413400402414487</v>
      </c>
      <c r="E102" s="80">
        <v>0.0480402414486922</v>
      </c>
      <c r="F102" s="81">
        <v>0.0625995975855131</v>
      </c>
      <c r="G102" s="81">
        <v>0.155171026156942</v>
      </c>
    </row>
    <row r="103" spans="1:7">
      <c r="A103" s="78" t="s">
        <v>202</v>
      </c>
      <c r="B103" s="138">
        <v>51</v>
      </c>
      <c r="C103" s="79">
        <f t="shared" si="1"/>
        <v>49.7</v>
      </c>
      <c r="D103" s="80">
        <v>0.428352941176471</v>
      </c>
      <c r="E103" s="80">
        <v>0.0570117647058824</v>
      </c>
      <c r="F103" s="81">
        <v>0.0712</v>
      </c>
      <c r="G103" s="81">
        <v>0.161411764705882</v>
      </c>
    </row>
    <row r="104" spans="1:7">
      <c r="A104" s="78" t="s">
        <v>203</v>
      </c>
      <c r="B104" s="138">
        <v>52.6</v>
      </c>
      <c r="C104" s="79">
        <f t="shared" si="1"/>
        <v>51</v>
      </c>
      <c r="D104" s="80">
        <v>0.44574144486692</v>
      </c>
      <c r="E104" s="80">
        <v>0.0674448669201521</v>
      </c>
      <c r="F104" s="81">
        <v>0.0812015209125475</v>
      </c>
      <c r="G104" s="81">
        <v>0.168669201520913</v>
      </c>
    </row>
    <row r="105" spans="1:7">
      <c r="A105" s="78" t="s">
        <v>204</v>
      </c>
      <c r="B105" s="138">
        <v>53.7</v>
      </c>
      <c r="C105" s="79">
        <f t="shared" si="1"/>
        <v>52.6</v>
      </c>
      <c r="D105" s="80">
        <v>0.457094972067039</v>
      </c>
      <c r="E105" s="80">
        <v>0.0742569832402235</v>
      </c>
      <c r="F105" s="81">
        <v>0.087731843575419</v>
      </c>
      <c r="G105" s="81">
        <v>0.17340782122905</v>
      </c>
    </row>
    <row r="106" spans="1:7">
      <c r="A106" s="78" t="s">
        <v>205</v>
      </c>
      <c r="B106" s="138">
        <v>54.6</v>
      </c>
      <c r="C106" s="79">
        <f t="shared" si="1"/>
        <v>53.7</v>
      </c>
      <c r="D106" s="80">
        <v>0.466043956043956</v>
      </c>
      <c r="E106" s="80">
        <v>0.0796263736263737</v>
      </c>
      <c r="F106" s="81">
        <v>0.0928791208791208</v>
      </c>
      <c r="G106" s="81">
        <v>0.177142857142857</v>
      </c>
    </row>
    <row r="107" spans="1:7">
      <c r="A107" s="78" t="s">
        <v>206</v>
      </c>
      <c r="B107" s="138">
        <v>57.6</v>
      </c>
      <c r="C107" s="79">
        <f t="shared" si="1"/>
        <v>54.6</v>
      </c>
      <c r="D107" s="80">
        <v>0.493854166666667</v>
      </c>
      <c r="E107" s="80">
        <v>0.0963125000000001</v>
      </c>
      <c r="F107" s="81">
        <v>0.108875</v>
      </c>
      <c r="G107" s="81">
        <v>0.18875</v>
      </c>
    </row>
    <row r="108" spans="1:7">
      <c r="A108" s="78" t="s">
        <v>207</v>
      </c>
      <c r="B108" s="138">
        <v>60</v>
      </c>
      <c r="C108" s="79">
        <f t="shared" si="1"/>
        <v>57.6</v>
      </c>
      <c r="D108" s="80">
        <v>0.5141</v>
      </c>
      <c r="E108" s="80">
        <v>0.10846</v>
      </c>
      <c r="F108" s="81">
        <v>0.12052</v>
      </c>
      <c r="G108" s="81">
        <v>0.1972</v>
      </c>
    </row>
    <row r="109" spans="1:7">
      <c r="A109" s="78" t="s">
        <v>208</v>
      </c>
      <c r="B109" s="138">
        <v>61.5</v>
      </c>
      <c r="C109" s="79">
        <f t="shared" si="1"/>
        <v>60</v>
      </c>
      <c r="D109" s="80">
        <v>0.525951219512195</v>
      </c>
      <c r="E109" s="80">
        <v>0.115570731707317</v>
      </c>
      <c r="F109" s="81">
        <v>0.127336585365854</v>
      </c>
      <c r="G109" s="81">
        <v>0.202146341463415</v>
      </c>
    </row>
    <row r="110" spans="1:7">
      <c r="A110" s="78" t="s">
        <v>209</v>
      </c>
      <c r="B110" s="138">
        <v>63</v>
      </c>
      <c r="C110" s="79">
        <f t="shared" si="1"/>
        <v>61.5</v>
      </c>
      <c r="D110" s="80">
        <v>0.537238095238095</v>
      </c>
      <c r="E110" s="80">
        <v>0.122342857142857</v>
      </c>
      <c r="F110" s="81">
        <v>0.133828571428571</v>
      </c>
      <c r="G110" s="81">
        <v>0.206857142857143</v>
      </c>
    </row>
    <row r="111" spans="1:7">
      <c r="A111" s="78" t="s">
        <v>210</v>
      </c>
      <c r="B111" s="138">
        <v>64.8</v>
      </c>
      <c r="C111" s="79">
        <f t="shared" si="1"/>
        <v>63</v>
      </c>
      <c r="D111" s="80">
        <v>0.550092592592593</v>
      </c>
      <c r="E111" s="80">
        <v>0.130055555555556</v>
      </c>
      <c r="F111" s="81">
        <v>0.141222222222222</v>
      </c>
      <c r="G111" s="81">
        <v>0.212222222222222</v>
      </c>
    </row>
    <row r="112" spans="1:7">
      <c r="A112" s="78" t="s">
        <v>211</v>
      </c>
      <c r="B112" s="138">
        <v>69.2</v>
      </c>
      <c r="C112" s="79">
        <f t="shared" si="1"/>
        <v>64.8</v>
      </c>
      <c r="D112" s="80">
        <v>0.578699421965318</v>
      </c>
      <c r="E112" s="80">
        <v>0.147219653179191</v>
      </c>
      <c r="F112" s="81">
        <v>0.157676300578035</v>
      </c>
      <c r="G112" s="81">
        <v>0.224161849710983</v>
      </c>
    </row>
    <row r="113" spans="1:7">
      <c r="A113" s="78" t="s">
        <v>212</v>
      </c>
      <c r="B113" s="138">
        <v>72.5</v>
      </c>
      <c r="C113" s="79">
        <f t="shared" si="1"/>
        <v>69.2</v>
      </c>
      <c r="D113" s="80">
        <v>0.597875862068966</v>
      </c>
      <c r="E113" s="80">
        <v>0.158725517241379</v>
      </c>
      <c r="F113" s="81">
        <v>0.168706206896552</v>
      </c>
      <c r="G113" s="81">
        <v>0.232165517241379</v>
      </c>
    </row>
    <row r="114" spans="1:7">
      <c r="A114" s="78" t="s">
        <v>213</v>
      </c>
      <c r="B114" s="138">
        <v>76</v>
      </c>
      <c r="C114" s="79">
        <f t="shared" si="1"/>
        <v>72.5</v>
      </c>
      <c r="D114" s="80">
        <v>0.616394736842105</v>
      </c>
      <c r="E114" s="80">
        <v>0.169836842105263</v>
      </c>
      <c r="F114" s="81">
        <v>0.179357894736842</v>
      </c>
      <c r="G114" s="81">
        <v>0.239894736842105</v>
      </c>
    </row>
    <row r="115" spans="1:7">
      <c r="A115" s="78" t="s">
        <v>214</v>
      </c>
      <c r="B115" s="138">
        <v>80</v>
      </c>
      <c r="C115" s="79">
        <f t="shared" si="1"/>
        <v>76</v>
      </c>
      <c r="D115" s="80">
        <v>0.635575</v>
      </c>
      <c r="E115" s="80">
        <v>0.181345</v>
      </c>
      <c r="F115" s="81">
        <v>0.19039</v>
      </c>
      <c r="G115" s="81">
        <v>0.2479</v>
      </c>
    </row>
    <row r="116" spans="1:7">
      <c r="A116" s="78" t="s">
        <v>215</v>
      </c>
      <c r="B116" s="138">
        <v>85.4</v>
      </c>
      <c r="C116" s="79">
        <f t="shared" si="1"/>
        <v>80</v>
      </c>
      <c r="D116" s="80">
        <v>0.658618266978923</v>
      </c>
      <c r="E116" s="80">
        <v>0.195170960187354</v>
      </c>
      <c r="F116" s="81">
        <v>0.203644028103044</v>
      </c>
      <c r="G116" s="81">
        <v>0.25751756440281</v>
      </c>
    </row>
    <row r="117" spans="1:7">
      <c r="A117" s="78" t="s">
        <v>216</v>
      </c>
      <c r="B117" s="138">
        <v>97.6</v>
      </c>
      <c r="C117" s="79">
        <f t="shared" si="1"/>
        <v>85.4</v>
      </c>
      <c r="D117" s="80">
        <v>0.701290983606557</v>
      </c>
      <c r="E117" s="80">
        <v>0.220774590163934</v>
      </c>
      <c r="F117" s="81">
        <v>0.228188524590164</v>
      </c>
      <c r="G117" s="81">
        <v>0.275327868852459</v>
      </c>
    </row>
    <row r="118" spans="1:7">
      <c r="A118" s="78" t="s">
        <v>217</v>
      </c>
      <c r="B118" s="138">
        <v>111.5</v>
      </c>
      <c r="C118" s="79">
        <f t="shared" si="1"/>
        <v>97.6</v>
      </c>
      <c r="D118" s="80">
        <v>0.738529147982063</v>
      </c>
      <c r="E118" s="80">
        <v>0.243117488789238</v>
      </c>
      <c r="F118" s="81">
        <v>0.249607174887892</v>
      </c>
      <c r="G118" s="81">
        <v>0.290869955156951</v>
      </c>
    </row>
    <row r="119" spans="1:7">
      <c r="A119" s="78" t="s">
        <v>218</v>
      </c>
      <c r="B119" s="138">
        <v>126.38</v>
      </c>
      <c r="C119" s="79">
        <f t="shared" si="1"/>
        <v>111.5</v>
      </c>
      <c r="D119" s="80">
        <v>0.769314764994461</v>
      </c>
      <c r="E119" s="80">
        <v>0.261588858996677</v>
      </c>
      <c r="F119" s="81">
        <v>0.267314448488685</v>
      </c>
      <c r="G119" s="81">
        <v>0.303718942870707</v>
      </c>
    </row>
    <row r="120" spans="1:7">
      <c r="A120" s="78" t="s">
        <v>219</v>
      </c>
      <c r="B120" s="138">
        <v>158.6</v>
      </c>
      <c r="C120" s="79">
        <f t="shared" si="1"/>
        <v>126.38</v>
      </c>
      <c r="D120" s="80">
        <v>0.816179066834805</v>
      </c>
      <c r="E120" s="80">
        <v>0.289707440100883</v>
      </c>
      <c r="F120" s="81">
        <v>0.294269861286255</v>
      </c>
      <c r="G120" s="81">
        <v>0.32327868852459</v>
      </c>
    </row>
    <row r="121" spans="1:7">
      <c r="A121" s="78" t="s">
        <v>220</v>
      </c>
      <c r="B121" s="138">
        <v>201.3</v>
      </c>
      <c r="C121" s="79">
        <f t="shared" si="1"/>
        <v>158.6</v>
      </c>
      <c r="D121" s="80">
        <v>0.855171385991058</v>
      </c>
      <c r="E121" s="80">
        <v>0.313102831594635</v>
      </c>
      <c r="F121" s="81">
        <v>0.316697466467958</v>
      </c>
      <c r="G121" s="81">
        <v>0.339552906110283</v>
      </c>
    </row>
    <row r="122" spans="1:7">
      <c r="A122" s="78" t="s">
        <v>221</v>
      </c>
      <c r="B122" s="138">
        <v>375</v>
      </c>
      <c r="C122" s="79">
        <f t="shared" si="1"/>
        <v>201.3</v>
      </c>
      <c r="D122" s="80">
        <v>0.922256</v>
      </c>
      <c r="E122" s="80">
        <v>0.3533536</v>
      </c>
      <c r="F122" s="81">
        <v>0.3552832</v>
      </c>
      <c r="G122" s="81">
        <v>0.367552</v>
      </c>
    </row>
    <row r="123" spans="1:7">
      <c r="A123" s="78" t="s">
        <v>221</v>
      </c>
      <c r="B123" s="78" t="s">
        <v>380</v>
      </c>
      <c r="C123" s="79">
        <f t="shared" si="1"/>
        <v>375</v>
      </c>
      <c r="D123" s="83" t="s">
        <v>232</v>
      </c>
      <c r="E123" s="83"/>
      <c r="F123" s="84"/>
      <c r="G123" s="84"/>
    </row>
    <row r="124" spans="1:7">
      <c r="A124" s="78"/>
      <c r="B124" s="78"/>
      <c r="C124" s="78"/>
      <c r="D124" s="83"/>
      <c r="E124" s="85">
        <v>0.0785894719292443</v>
      </c>
      <c r="F124" s="86">
        <v>0.0845735718181756</v>
      </c>
      <c r="G124" s="86">
        <v>0.13621597253407</v>
      </c>
    </row>
    <row r="125" ht="48" spans="1:7">
      <c r="A125" s="87" t="s">
        <v>233</v>
      </c>
      <c r="B125" s="78">
        <v>33.8</v>
      </c>
      <c r="C125" s="78"/>
      <c r="D125" s="83"/>
      <c r="E125" s="127">
        <v>48.59</v>
      </c>
      <c r="F125" s="128">
        <v>46.58</v>
      </c>
      <c r="G125" s="129">
        <v>33.8</v>
      </c>
    </row>
    <row r="126" ht="48" spans="1:7">
      <c r="A126" s="87" t="s">
        <v>224</v>
      </c>
      <c r="B126" s="78">
        <v>55.35</v>
      </c>
      <c r="C126" s="78"/>
      <c r="D126" s="83"/>
      <c r="E126" s="83"/>
      <c r="F126" s="84"/>
      <c r="G126" s="84"/>
    </row>
    <row r="127" ht="84" spans="1:7">
      <c r="A127" s="106" t="s">
        <v>225</v>
      </c>
      <c r="B127" s="78">
        <v>33.21</v>
      </c>
      <c r="C127" s="78"/>
      <c r="D127" s="83"/>
      <c r="E127" s="83">
        <v>29.154</v>
      </c>
      <c r="F127" s="84">
        <v>27.948</v>
      </c>
      <c r="G127" s="84">
        <v>20.28</v>
      </c>
    </row>
    <row r="129" ht="48.75" spans="1:2">
      <c r="A129" s="256" t="s">
        <v>224</v>
      </c>
      <c r="B129">
        <f>B126</f>
        <v>55.35</v>
      </c>
    </row>
    <row r="130" spans="1:3">
      <c r="A130" s="531" t="s">
        <v>226</v>
      </c>
      <c r="B130" s="95">
        <f>AVERAGE(B78:B117)</f>
        <v>48.59</v>
      </c>
      <c r="C130" s="95"/>
    </row>
    <row r="131" spans="1:3">
      <c r="A131" s="531" t="s">
        <v>227</v>
      </c>
      <c r="B131" s="96">
        <f>AVERAGE(B83:B112)</f>
        <v>46.58</v>
      </c>
      <c r="C131" s="96"/>
    </row>
    <row r="132" spans="1:3">
      <c r="A132" s="531" t="s">
        <v>228</v>
      </c>
      <c r="B132" s="96">
        <f>AVERAGE(B89:B107)</f>
        <v>46.1157894736842</v>
      </c>
      <c r="C132" s="96"/>
    </row>
    <row r="133" ht="15.75"/>
    <row r="134" ht="15.75" spans="1:7">
      <c r="A134" s="252" t="s">
        <v>165</v>
      </c>
      <c r="B134" s="67" t="s">
        <v>347</v>
      </c>
      <c r="C134" s="68"/>
      <c r="D134" s="69"/>
      <c r="E134" s="70">
        <f>(1-E189)^(1/3)-1</f>
        <v>-0.0342618388429413</v>
      </c>
      <c r="F134" s="70">
        <f>(1-F189)^(1/3)-1</f>
        <v>-0.0404023827675051</v>
      </c>
      <c r="G134" s="70"/>
    </row>
    <row r="135" ht="72.75" spans="1:7">
      <c r="A135" s="253"/>
      <c r="B135" s="72" t="s">
        <v>167</v>
      </c>
      <c r="C135" s="107"/>
      <c r="D135" s="83" t="s">
        <v>168</v>
      </c>
      <c r="E135" s="83" t="s">
        <v>169</v>
      </c>
      <c r="F135" s="84" t="s">
        <v>169</v>
      </c>
      <c r="G135" s="84"/>
    </row>
    <row r="136" ht="24.75" spans="1:7">
      <c r="A136" s="254"/>
      <c r="B136" s="72" t="s">
        <v>235</v>
      </c>
      <c r="C136" s="107"/>
      <c r="D136" s="83" t="s">
        <v>171</v>
      </c>
      <c r="E136" s="83" t="s">
        <v>171</v>
      </c>
      <c r="F136" s="84" t="s">
        <v>171</v>
      </c>
      <c r="G136" s="84"/>
    </row>
    <row r="137" spans="1:7">
      <c r="A137" s="75">
        <v>1</v>
      </c>
      <c r="B137" s="76">
        <v>2</v>
      </c>
      <c r="C137" s="76"/>
      <c r="D137" s="76">
        <v>3</v>
      </c>
      <c r="E137" s="76">
        <v>4</v>
      </c>
      <c r="F137" s="77">
        <v>5</v>
      </c>
      <c r="G137" s="77"/>
    </row>
    <row r="138" ht="15.75" spans="1:7">
      <c r="A138" s="533" t="s">
        <v>172</v>
      </c>
      <c r="B138" s="258">
        <v>0.01</v>
      </c>
      <c r="C138" s="112">
        <v>0</v>
      </c>
      <c r="D138" s="80">
        <v>0</v>
      </c>
      <c r="E138" s="80">
        <v>0</v>
      </c>
      <c r="F138" s="81">
        <v>0</v>
      </c>
      <c r="G138" s="81">
        <v>0</v>
      </c>
    </row>
    <row r="139" ht="15.75" spans="1:7">
      <c r="A139" s="533" t="s">
        <v>173</v>
      </c>
      <c r="B139" s="258">
        <v>0.01</v>
      </c>
      <c r="C139" s="79">
        <f>B138</f>
        <v>0.01</v>
      </c>
      <c r="D139" s="80">
        <v>0</v>
      </c>
      <c r="E139" s="80">
        <v>0</v>
      </c>
      <c r="F139" s="81">
        <v>0</v>
      </c>
      <c r="G139" s="81">
        <v>0</v>
      </c>
    </row>
    <row r="140" ht="15.75" spans="1:7">
      <c r="A140" s="533" t="s">
        <v>174</v>
      </c>
      <c r="B140" s="258">
        <v>0.01</v>
      </c>
      <c r="C140" s="79">
        <f t="shared" ref="C140:C188" si="2">B139</f>
        <v>0.01</v>
      </c>
      <c r="D140" s="80">
        <v>0</v>
      </c>
      <c r="E140" s="80">
        <v>0</v>
      </c>
      <c r="F140" s="81">
        <v>0</v>
      </c>
      <c r="G140" s="81">
        <v>0</v>
      </c>
    </row>
    <row r="141" ht="15.75" spans="1:7">
      <c r="A141" s="533" t="s">
        <v>175</v>
      </c>
      <c r="B141" s="258">
        <v>0.02</v>
      </c>
      <c r="C141" s="79">
        <f t="shared" si="2"/>
        <v>0.01</v>
      </c>
      <c r="D141" s="80">
        <v>0</v>
      </c>
      <c r="E141" s="80">
        <v>0</v>
      </c>
      <c r="F141" s="81">
        <v>0</v>
      </c>
      <c r="G141" s="81">
        <v>0</v>
      </c>
    </row>
    <row r="142" ht="15.75" spans="1:7">
      <c r="A142" s="533" t="s">
        <v>176</v>
      </c>
      <c r="B142" s="258">
        <v>0.03</v>
      </c>
      <c r="C142" s="79">
        <f t="shared" si="2"/>
        <v>0.02</v>
      </c>
      <c r="D142" s="80">
        <v>0</v>
      </c>
      <c r="E142" s="80">
        <v>0</v>
      </c>
      <c r="F142" s="81">
        <v>0</v>
      </c>
      <c r="G142" s="81">
        <v>0</v>
      </c>
    </row>
    <row r="143" ht="15.75" spans="1:7">
      <c r="A143" s="533" t="s">
        <v>177</v>
      </c>
      <c r="B143" s="258">
        <v>0.04</v>
      </c>
      <c r="C143" s="79">
        <f t="shared" si="2"/>
        <v>0.03</v>
      </c>
      <c r="D143" s="80">
        <v>0</v>
      </c>
      <c r="E143" s="80">
        <v>0</v>
      </c>
      <c r="F143" s="81">
        <v>0</v>
      </c>
      <c r="G143" s="81">
        <v>0</v>
      </c>
    </row>
    <row r="144" ht="15.75" spans="1:7">
      <c r="A144" s="533" t="s">
        <v>178</v>
      </c>
      <c r="B144" s="258">
        <v>0.05</v>
      </c>
      <c r="C144" s="79">
        <f t="shared" si="2"/>
        <v>0.04</v>
      </c>
      <c r="D144" s="80">
        <v>0</v>
      </c>
      <c r="E144" s="80">
        <v>0</v>
      </c>
      <c r="F144" s="81">
        <v>0</v>
      </c>
      <c r="G144" s="81">
        <v>0</v>
      </c>
    </row>
    <row r="145" ht="15.75" spans="1:7">
      <c r="A145" s="257" t="s">
        <v>179</v>
      </c>
      <c r="B145" s="258">
        <v>0.07</v>
      </c>
      <c r="C145" s="79">
        <f t="shared" si="2"/>
        <v>0.05</v>
      </c>
      <c r="D145" s="80">
        <v>0</v>
      </c>
      <c r="E145" s="80">
        <v>0</v>
      </c>
      <c r="F145" s="81">
        <v>0</v>
      </c>
      <c r="G145" s="81">
        <v>0</v>
      </c>
    </row>
    <row r="146" ht="15.75" spans="1:7">
      <c r="A146" s="257" t="s">
        <v>180</v>
      </c>
      <c r="B146" s="258">
        <v>0.09</v>
      </c>
      <c r="C146" s="79">
        <f t="shared" si="2"/>
        <v>0.07</v>
      </c>
      <c r="D146" s="80">
        <v>0</v>
      </c>
      <c r="E146" s="80">
        <v>0</v>
      </c>
      <c r="F146" s="81">
        <v>0</v>
      </c>
      <c r="G146" s="81">
        <v>0</v>
      </c>
    </row>
    <row r="147" ht="15.75" spans="1:7">
      <c r="A147" s="257" t="s">
        <v>181</v>
      </c>
      <c r="B147" s="258">
        <v>0.1</v>
      </c>
      <c r="C147" s="79">
        <f t="shared" si="2"/>
        <v>0.09</v>
      </c>
      <c r="D147" s="80">
        <v>0</v>
      </c>
      <c r="E147" s="80">
        <v>0</v>
      </c>
      <c r="F147" s="81">
        <v>0</v>
      </c>
      <c r="G147" s="81">
        <v>0</v>
      </c>
    </row>
    <row r="148" ht="15.75" spans="1:7">
      <c r="A148" s="257" t="s">
        <v>182</v>
      </c>
      <c r="B148" s="258">
        <v>0.12</v>
      </c>
      <c r="C148" s="79">
        <f t="shared" si="2"/>
        <v>0.1</v>
      </c>
      <c r="D148" s="80">
        <v>0</v>
      </c>
      <c r="E148" s="80">
        <v>0</v>
      </c>
      <c r="F148" s="81">
        <v>0</v>
      </c>
      <c r="G148" s="81">
        <v>0</v>
      </c>
    </row>
    <row r="149" ht="15.75" spans="1:7">
      <c r="A149" s="257" t="s">
        <v>183</v>
      </c>
      <c r="B149" s="258">
        <v>0.16</v>
      </c>
      <c r="C149" s="79">
        <f t="shared" si="2"/>
        <v>0.12</v>
      </c>
      <c r="D149" s="80">
        <v>0</v>
      </c>
      <c r="E149" s="80">
        <v>0</v>
      </c>
      <c r="F149" s="81">
        <v>0</v>
      </c>
      <c r="G149" s="81">
        <v>0</v>
      </c>
    </row>
    <row r="150" ht="15.75" spans="1:7">
      <c r="A150" s="257" t="s">
        <v>184</v>
      </c>
      <c r="B150" s="258">
        <v>0.21</v>
      </c>
      <c r="C150" s="79">
        <f t="shared" si="2"/>
        <v>0.16</v>
      </c>
      <c r="D150" s="80">
        <v>0</v>
      </c>
      <c r="E150" s="80">
        <v>0</v>
      </c>
      <c r="F150" s="81">
        <v>0</v>
      </c>
      <c r="G150" s="81">
        <v>0</v>
      </c>
    </row>
    <row r="151" ht="15.75" spans="1:7">
      <c r="A151" s="257" t="s">
        <v>185</v>
      </c>
      <c r="B151" s="258">
        <v>0.29</v>
      </c>
      <c r="C151" s="79">
        <f t="shared" si="2"/>
        <v>0.21</v>
      </c>
      <c r="D151" s="80">
        <v>0</v>
      </c>
      <c r="E151" s="80">
        <v>0</v>
      </c>
      <c r="F151" s="81">
        <v>0</v>
      </c>
      <c r="G151" s="81">
        <v>0</v>
      </c>
    </row>
    <row r="152" ht="15.75" spans="1:7">
      <c r="A152" s="257" t="s">
        <v>186</v>
      </c>
      <c r="B152" s="258">
        <v>0.34</v>
      </c>
      <c r="C152" s="79">
        <f t="shared" si="2"/>
        <v>0.29</v>
      </c>
      <c r="D152" s="80">
        <v>0</v>
      </c>
      <c r="E152" s="80">
        <v>0</v>
      </c>
      <c r="F152" s="81">
        <v>0</v>
      </c>
      <c r="G152" s="81">
        <v>0</v>
      </c>
    </row>
    <row r="153" ht="15.75" spans="1:7">
      <c r="A153" s="257" t="s">
        <v>187</v>
      </c>
      <c r="B153" s="258">
        <v>0.42</v>
      </c>
      <c r="C153" s="79">
        <f t="shared" si="2"/>
        <v>0.34</v>
      </c>
      <c r="D153" s="80">
        <v>0</v>
      </c>
      <c r="E153" s="80">
        <v>0</v>
      </c>
      <c r="F153" s="81">
        <v>0</v>
      </c>
      <c r="G153" s="81">
        <v>0</v>
      </c>
    </row>
    <row r="154" ht="15.75" spans="1:7">
      <c r="A154" s="257" t="s">
        <v>188</v>
      </c>
      <c r="B154" s="258">
        <v>0.44</v>
      </c>
      <c r="C154" s="79">
        <f t="shared" si="2"/>
        <v>0.42</v>
      </c>
      <c r="D154" s="80">
        <v>0</v>
      </c>
      <c r="E154" s="80">
        <v>0</v>
      </c>
      <c r="F154" s="81">
        <v>0</v>
      </c>
      <c r="G154" s="81">
        <v>0</v>
      </c>
    </row>
    <row r="155" ht="15.75" spans="1:7">
      <c r="A155" s="257" t="s">
        <v>189</v>
      </c>
      <c r="B155" s="258">
        <v>0.48</v>
      </c>
      <c r="C155" s="79">
        <f t="shared" si="2"/>
        <v>0.44</v>
      </c>
      <c r="D155" s="80">
        <v>0</v>
      </c>
      <c r="E155" s="80">
        <v>0</v>
      </c>
      <c r="F155" s="81">
        <v>0</v>
      </c>
      <c r="G155" s="81">
        <v>0</v>
      </c>
    </row>
    <row r="156" ht="15.75" spans="1:7">
      <c r="A156" s="257" t="s">
        <v>190</v>
      </c>
      <c r="B156" s="258">
        <v>0.54</v>
      </c>
      <c r="C156" s="79">
        <f t="shared" si="2"/>
        <v>0.48</v>
      </c>
      <c r="D156" s="80">
        <v>0</v>
      </c>
      <c r="E156" s="80">
        <v>0</v>
      </c>
      <c r="F156" s="81">
        <v>0</v>
      </c>
      <c r="G156" s="81">
        <v>0</v>
      </c>
    </row>
    <row r="157" ht="15.75" spans="1:7">
      <c r="A157" s="257" t="s">
        <v>191</v>
      </c>
      <c r="B157" s="258">
        <v>0.58</v>
      </c>
      <c r="C157" s="79">
        <f t="shared" si="2"/>
        <v>0.54</v>
      </c>
      <c r="D157" s="80">
        <v>0</v>
      </c>
      <c r="E157" s="80">
        <v>0</v>
      </c>
      <c r="F157" s="81">
        <v>0</v>
      </c>
      <c r="G157" s="81">
        <v>0</v>
      </c>
    </row>
    <row r="158" ht="15.75" spans="1:7">
      <c r="A158" s="257" t="s">
        <v>192</v>
      </c>
      <c r="B158" s="258">
        <v>0.73</v>
      </c>
      <c r="C158" s="79">
        <f t="shared" si="2"/>
        <v>0.58</v>
      </c>
      <c r="D158" s="80">
        <v>0</v>
      </c>
      <c r="E158" s="80">
        <v>0</v>
      </c>
      <c r="F158" s="81">
        <v>0</v>
      </c>
      <c r="G158" s="81">
        <v>0</v>
      </c>
    </row>
    <row r="159" ht="15.75" spans="1:7">
      <c r="A159" s="257" t="s">
        <v>193</v>
      </c>
      <c r="B159" s="258">
        <v>0.88</v>
      </c>
      <c r="C159" s="79">
        <f t="shared" si="2"/>
        <v>0.73</v>
      </c>
      <c r="D159" s="80">
        <v>0</v>
      </c>
      <c r="E159" s="80">
        <v>0</v>
      </c>
      <c r="F159" s="81">
        <v>0</v>
      </c>
      <c r="G159" s="81">
        <v>0</v>
      </c>
    </row>
    <row r="160" ht="15.75" spans="1:7">
      <c r="A160" s="257" t="s">
        <v>194</v>
      </c>
      <c r="B160" s="258">
        <v>0.96</v>
      </c>
      <c r="C160" s="79">
        <f t="shared" si="2"/>
        <v>0.88</v>
      </c>
      <c r="D160" s="80">
        <v>0</v>
      </c>
      <c r="E160" s="80">
        <v>0</v>
      </c>
      <c r="F160" s="81">
        <v>0</v>
      </c>
      <c r="G160" s="81">
        <v>0</v>
      </c>
    </row>
    <row r="161" ht="15.75" spans="1:7">
      <c r="A161" s="257" t="s">
        <v>195</v>
      </c>
      <c r="B161" s="258">
        <v>1.32</v>
      </c>
      <c r="C161" s="79">
        <f t="shared" si="2"/>
        <v>0.96</v>
      </c>
      <c r="D161" s="80">
        <v>0</v>
      </c>
      <c r="E161" s="80">
        <v>0</v>
      </c>
      <c r="F161" s="81">
        <v>0</v>
      </c>
      <c r="G161" s="81">
        <v>0</v>
      </c>
    </row>
    <row r="162" ht="15.75" spans="1:7">
      <c r="A162" s="257" t="s">
        <v>196</v>
      </c>
      <c r="B162" s="258">
        <v>1.62</v>
      </c>
      <c r="C162" s="79">
        <f t="shared" si="2"/>
        <v>1.32</v>
      </c>
      <c r="D162" s="80">
        <v>0</v>
      </c>
      <c r="E162" s="80">
        <v>0</v>
      </c>
      <c r="F162" s="81">
        <v>0</v>
      </c>
      <c r="G162" s="81">
        <v>0</v>
      </c>
    </row>
    <row r="163" ht="15.75" spans="1:7">
      <c r="A163" s="257" t="s">
        <v>197</v>
      </c>
      <c r="B163" s="258">
        <v>1.86</v>
      </c>
      <c r="C163" s="79">
        <f t="shared" si="2"/>
        <v>1.62</v>
      </c>
      <c r="D163" s="80">
        <v>0</v>
      </c>
      <c r="E163" s="80">
        <v>0</v>
      </c>
      <c r="F163" s="81">
        <v>0</v>
      </c>
      <c r="G163" s="81">
        <v>0</v>
      </c>
    </row>
    <row r="164" ht="15.75" spans="1:7">
      <c r="A164" s="257" t="s">
        <v>198</v>
      </c>
      <c r="B164" s="258">
        <v>2.27</v>
      </c>
      <c r="C164" s="79">
        <f t="shared" si="2"/>
        <v>1.86</v>
      </c>
      <c r="D164" s="80">
        <v>0</v>
      </c>
      <c r="E164" s="80">
        <v>0</v>
      </c>
      <c r="F164" s="81">
        <v>0.0142026431718062</v>
      </c>
      <c r="G164" s="81">
        <v>0</v>
      </c>
    </row>
    <row r="165" ht="15.75" spans="1:7">
      <c r="A165" s="257" t="s">
        <v>199</v>
      </c>
      <c r="B165" s="258">
        <v>2.82</v>
      </c>
      <c r="C165" s="79">
        <f t="shared" si="2"/>
        <v>2.27</v>
      </c>
      <c r="D165" s="80">
        <v>0.0801595744680851</v>
      </c>
      <c r="E165" s="80"/>
      <c r="F165" s="81">
        <v>0.0309361702127659</v>
      </c>
      <c r="G165" s="81">
        <v>0</v>
      </c>
    </row>
    <row r="166" ht="15.75" spans="1:7">
      <c r="A166" s="257" t="s">
        <v>200</v>
      </c>
      <c r="B166" s="258">
        <v>3.34</v>
      </c>
      <c r="C166" s="79">
        <f t="shared" si="2"/>
        <v>2.82</v>
      </c>
      <c r="D166" s="80">
        <v>0.223368263473054</v>
      </c>
      <c r="E166" s="80">
        <v>0.0223368263473054</v>
      </c>
      <c r="F166" s="81">
        <v>0.0501317365269461</v>
      </c>
      <c r="G166" s="81">
        <v>0</v>
      </c>
    </row>
    <row r="167" ht="15.75" spans="1:7">
      <c r="A167" s="257" t="s">
        <v>201</v>
      </c>
      <c r="B167" s="258">
        <v>2.97</v>
      </c>
      <c r="C167" s="79">
        <f t="shared" si="2"/>
        <v>3.34</v>
      </c>
      <c r="D167" s="80">
        <v>0.126616161616162</v>
      </c>
      <c r="E167" s="80">
        <v>0.0126616161616162</v>
      </c>
      <c r="F167" s="81">
        <v>0.0344242424242424</v>
      </c>
      <c r="G167" s="81">
        <v>0</v>
      </c>
    </row>
    <row r="168" ht="15.75" spans="1:7">
      <c r="A168" s="257" t="s">
        <v>202</v>
      </c>
      <c r="B168" s="258">
        <v>4.33</v>
      </c>
      <c r="C168" s="79">
        <f t="shared" si="2"/>
        <v>2.97</v>
      </c>
      <c r="D168" s="80">
        <v>0.400935334872979</v>
      </c>
      <c r="E168" s="80">
        <v>0.0405612009237876</v>
      </c>
      <c r="F168" s="81">
        <v>0.130124711316397</v>
      </c>
      <c r="G168" s="81">
        <v>0</v>
      </c>
    </row>
    <row r="169" ht="15.75" spans="1:7">
      <c r="A169" s="257" t="s">
        <v>203</v>
      </c>
      <c r="B169" s="258">
        <v>4.8</v>
      </c>
      <c r="C169" s="79">
        <f t="shared" si="2"/>
        <v>4.33</v>
      </c>
      <c r="D169" s="80">
        <v>0.45959375</v>
      </c>
      <c r="E169" s="80">
        <v>0.07575625</v>
      </c>
      <c r="F169" s="81">
        <v>0.15655</v>
      </c>
      <c r="G169" s="81">
        <v>0</v>
      </c>
    </row>
    <row r="170" ht="15.75" spans="1:7">
      <c r="A170" s="257" t="s">
        <v>204</v>
      </c>
      <c r="B170" s="258">
        <v>5.7</v>
      </c>
      <c r="C170" s="79">
        <f t="shared" si="2"/>
        <v>4.8</v>
      </c>
      <c r="D170" s="80">
        <v>0.544921052631579</v>
      </c>
      <c r="E170" s="80">
        <v>0.126952631578947</v>
      </c>
      <c r="F170" s="81">
        <v>0.194989473684211</v>
      </c>
      <c r="G170" s="81">
        <v>0.0115789473684211</v>
      </c>
    </row>
    <row r="171" ht="15.75" spans="1:7">
      <c r="A171" s="257" t="s">
        <v>205</v>
      </c>
      <c r="B171" s="258">
        <v>6.1</v>
      </c>
      <c r="C171" s="79">
        <f t="shared" si="2"/>
        <v>5.7</v>
      </c>
      <c r="D171" s="80">
        <v>0.574762295081967</v>
      </c>
      <c r="E171" s="80">
        <v>0.14485737704918</v>
      </c>
      <c r="F171" s="81">
        <v>0.208432786885246</v>
      </c>
      <c r="G171" s="81">
        <v>0.0173770491803279</v>
      </c>
    </row>
    <row r="172" ht="15.75" spans="1:7">
      <c r="A172" s="257" t="s">
        <v>206</v>
      </c>
      <c r="B172" s="258">
        <v>6.6</v>
      </c>
      <c r="C172" s="79">
        <f t="shared" si="2"/>
        <v>6.1</v>
      </c>
      <c r="D172" s="80">
        <v>0.606977272727273</v>
      </c>
      <c r="E172" s="80">
        <v>0.164186363636364</v>
      </c>
      <c r="F172" s="81">
        <v>0.222945454545455</v>
      </c>
      <c r="G172" s="81">
        <v>0.0236363636363636</v>
      </c>
    </row>
    <row r="173" ht="15.75" spans="1:7">
      <c r="A173" s="257" t="s">
        <v>207</v>
      </c>
      <c r="B173" s="258">
        <v>7.8</v>
      </c>
      <c r="C173" s="79">
        <f t="shared" si="2"/>
        <v>6.6</v>
      </c>
      <c r="D173" s="80">
        <v>0.667442307692308</v>
      </c>
      <c r="E173" s="80">
        <v>0.200465384615385</v>
      </c>
      <c r="F173" s="81">
        <v>0.250184615384615</v>
      </c>
      <c r="G173" s="81">
        <v>0.0353846153846154</v>
      </c>
    </row>
    <row r="174" ht="15.75" spans="1:7">
      <c r="A174" s="257" t="s">
        <v>208</v>
      </c>
      <c r="B174" s="258">
        <v>8.7</v>
      </c>
      <c r="C174" s="79">
        <f t="shared" si="2"/>
        <v>7.8</v>
      </c>
      <c r="D174" s="80">
        <v>0.701844827586207</v>
      </c>
      <c r="E174" s="80">
        <v>0.221106896551724</v>
      </c>
      <c r="F174" s="81">
        <v>0.26568275862069</v>
      </c>
      <c r="G174" s="81">
        <v>0.0524137931034482</v>
      </c>
    </row>
    <row r="175" ht="15.75" spans="1:7">
      <c r="A175" s="257" t="s">
        <v>209</v>
      </c>
      <c r="B175" s="258">
        <v>9.2</v>
      </c>
      <c r="C175" s="79">
        <f t="shared" si="2"/>
        <v>8.7</v>
      </c>
      <c r="D175" s="80">
        <v>0.718048913043478</v>
      </c>
      <c r="E175" s="80">
        <v>0.230829347826087</v>
      </c>
      <c r="F175" s="81">
        <v>0.272982608695652</v>
      </c>
      <c r="G175" s="81">
        <v>0.0713043478260869</v>
      </c>
    </row>
    <row r="176" ht="15.75" spans="1:7">
      <c r="A176" s="257" t="s">
        <v>210</v>
      </c>
      <c r="B176" s="258">
        <v>9.9</v>
      </c>
      <c r="C176" s="79">
        <f t="shared" si="2"/>
        <v>9.2</v>
      </c>
      <c r="D176" s="80">
        <v>0.737984848484849</v>
      </c>
      <c r="E176" s="80">
        <v>0.242790909090909</v>
      </c>
      <c r="F176" s="81">
        <v>0.281963636363636</v>
      </c>
      <c r="G176" s="81">
        <v>0.0945454545454546</v>
      </c>
    </row>
    <row r="177" ht="15.75" spans="1:7">
      <c r="A177" s="257" t="s">
        <v>211</v>
      </c>
      <c r="B177" s="258">
        <v>11.9</v>
      </c>
      <c r="C177" s="79">
        <f t="shared" si="2"/>
        <v>9.9</v>
      </c>
      <c r="D177" s="80">
        <v>0.782021008403361</v>
      </c>
      <c r="E177" s="80">
        <v>0.269212605042017</v>
      </c>
      <c r="F177" s="81">
        <v>0.301801680672269</v>
      </c>
      <c r="G177" s="81">
        <v>0.145882352941176</v>
      </c>
    </row>
    <row r="178" ht="15.75" spans="1:7">
      <c r="A178" s="257" t="s">
        <v>212</v>
      </c>
      <c r="B178" s="258">
        <v>13.2</v>
      </c>
      <c r="C178" s="79">
        <f t="shared" si="2"/>
        <v>11.9</v>
      </c>
      <c r="D178" s="80">
        <v>0.803488636363636</v>
      </c>
      <c r="E178" s="80">
        <v>0.282093181818182</v>
      </c>
      <c r="F178" s="81">
        <v>0.311472727272727</v>
      </c>
      <c r="G178" s="81">
        <v>0.170909090909091</v>
      </c>
    </row>
    <row r="179" ht="15.75" spans="1:7">
      <c r="A179" s="257" t="s">
        <v>213</v>
      </c>
      <c r="B179" s="258">
        <v>13.7</v>
      </c>
      <c r="C179" s="79">
        <f t="shared" si="2"/>
        <v>13.2</v>
      </c>
      <c r="D179" s="80">
        <v>0.810660583941606</v>
      </c>
      <c r="E179" s="80">
        <v>0.286396350364964</v>
      </c>
      <c r="F179" s="81">
        <v>0.314703649635036</v>
      </c>
      <c r="G179" s="81">
        <v>0.179270072992701</v>
      </c>
    </row>
    <row r="180" ht="15.75" spans="1:7">
      <c r="A180" s="257" t="s">
        <v>214</v>
      </c>
      <c r="B180" s="258">
        <v>14.4</v>
      </c>
      <c r="C180" s="79">
        <f t="shared" si="2"/>
        <v>13.7</v>
      </c>
      <c r="D180" s="80">
        <v>0.819864583333333</v>
      </c>
      <c r="E180" s="80">
        <v>0.29191875</v>
      </c>
      <c r="F180" s="81">
        <v>0.31885</v>
      </c>
      <c r="G180" s="81">
        <v>0.19</v>
      </c>
    </row>
    <row r="181" ht="15.75" spans="1:7">
      <c r="A181" s="257" t="s">
        <v>215</v>
      </c>
      <c r="B181" s="258">
        <v>16.2</v>
      </c>
      <c r="C181" s="79">
        <f t="shared" si="2"/>
        <v>14.4</v>
      </c>
      <c r="D181" s="80">
        <v>0.83987962962963</v>
      </c>
      <c r="E181" s="80">
        <v>0.303927777777778</v>
      </c>
      <c r="F181" s="81">
        <v>0.327866666666667</v>
      </c>
      <c r="G181" s="81">
        <v>0.213333333333333</v>
      </c>
    </row>
    <row r="182" ht="15.75" spans="1:7">
      <c r="A182" s="257" t="s">
        <v>216</v>
      </c>
      <c r="B182" s="258">
        <v>17.7</v>
      </c>
      <c r="C182" s="79">
        <f t="shared" si="2"/>
        <v>16.2</v>
      </c>
      <c r="D182" s="80">
        <v>0.853449152542373</v>
      </c>
      <c r="E182" s="80">
        <v>0.312069491525424</v>
      </c>
      <c r="F182" s="81">
        <v>0.333979661016949</v>
      </c>
      <c r="G182" s="81">
        <v>0.229152542372881</v>
      </c>
    </row>
    <row r="183" ht="15.75" spans="1:7">
      <c r="A183" s="257" t="s">
        <v>217</v>
      </c>
      <c r="B183" s="258">
        <v>19.4</v>
      </c>
      <c r="C183" s="79">
        <f t="shared" si="2"/>
        <v>17.7</v>
      </c>
      <c r="D183" s="80">
        <v>0.866291237113402</v>
      </c>
      <c r="E183" s="80">
        <v>0.319774742268041</v>
      </c>
      <c r="F183" s="81">
        <v>0.339764948453608</v>
      </c>
      <c r="G183" s="81">
        <v>0.244123711340206</v>
      </c>
    </row>
    <row r="184" ht="15.75" spans="1:7">
      <c r="A184" s="257" t="s">
        <v>218</v>
      </c>
      <c r="B184" s="258">
        <v>21.9</v>
      </c>
      <c r="C184" s="79">
        <f t="shared" si="2"/>
        <v>19.4</v>
      </c>
      <c r="D184" s="80">
        <v>0.881554794520548</v>
      </c>
      <c r="E184" s="80">
        <v>0.328932876712329</v>
      </c>
      <c r="F184" s="81">
        <v>0.346641095890411</v>
      </c>
      <c r="G184" s="81">
        <v>0.261917808219178</v>
      </c>
    </row>
    <row r="185" ht="15.75" spans="1:7">
      <c r="A185" s="257" t="s">
        <v>219</v>
      </c>
      <c r="B185" s="258">
        <v>25</v>
      </c>
      <c r="C185" s="79">
        <f t="shared" si="2"/>
        <v>21.9</v>
      </c>
      <c r="D185" s="80">
        <v>0.896242</v>
      </c>
      <c r="E185" s="80">
        <v>0.3377452</v>
      </c>
      <c r="F185" s="81">
        <v>0.3532576</v>
      </c>
      <c r="G185" s="81">
        <v>0.27904</v>
      </c>
    </row>
    <row r="186" ht="15.75" spans="1:7">
      <c r="A186" s="257" t="s">
        <v>220</v>
      </c>
      <c r="B186" s="258">
        <v>37.8</v>
      </c>
      <c r="C186" s="79">
        <f t="shared" si="2"/>
        <v>25</v>
      </c>
      <c r="D186" s="80">
        <v>0.931376984126984</v>
      </c>
      <c r="E186" s="80">
        <v>0.35882619047619</v>
      </c>
      <c r="F186" s="81">
        <v>0.369085714285714</v>
      </c>
      <c r="G186" s="81">
        <v>0.32</v>
      </c>
    </row>
    <row r="187" ht="15.75" spans="1:7">
      <c r="A187" s="257" t="s">
        <v>221</v>
      </c>
      <c r="B187" s="258">
        <v>96</v>
      </c>
      <c r="C187" s="79">
        <f t="shared" si="2"/>
        <v>37.8</v>
      </c>
      <c r="D187" s="80">
        <v>0.9729796875</v>
      </c>
      <c r="E187" s="80">
        <v>0.3837878125</v>
      </c>
      <c r="F187" s="81">
        <v>0.3878275</v>
      </c>
      <c r="G187" s="81">
        <v>0.3685</v>
      </c>
    </row>
    <row r="188" ht="15.75" spans="1:7">
      <c r="A188" s="257" t="s">
        <v>221</v>
      </c>
      <c r="B188" s="257" t="s">
        <v>381</v>
      </c>
      <c r="C188" s="79">
        <f t="shared" si="2"/>
        <v>96</v>
      </c>
      <c r="D188" s="260"/>
      <c r="E188" s="72"/>
      <c r="F188" s="73"/>
      <c r="G188" s="84"/>
    </row>
    <row r="189" ht="15.75" spans="1:7">
      <c r="A189" s="257"/>
      <c r="B189" s="257">
        <v>5.4</v>
      </c>
      <c r="C189" s="116"/>
      <c r="D189" s="260"/>
      <c r="E189" s="261">
        <v>0.0993041147942608</v>
      </c>
      <c r="F189" s="262">
        <v>0.116376041634501</v>
      </c>
      <c r="G189" s="262">
        <v>0.0581673896630657</v>
      </c>
    </row>
    <row r="190" ht="48.75" spans="1:7">
      <c r="A190" s="256" t="s">
        <v>233</v>
      </c>
      <c r="B190" s="257">
        <v>22.3</v>
      </c>
      <c r="C190" s="116"/>
      <c r="D190" s="260"/>
      <c r="E190" s="263">
        <v>4.32325</v>
      </c>
      <c r="F190" s="264">
        <v>3.246</v>
      </c>
      <c r="G190" s="265">
        <v>22.3</v>
      </c>
    </row>
    <row r="191" ht="48.75" spans="1:7">
      <c r="A191" s="256" t="s">
        <v>224</v>
      </c>
      <c r="B191" s="116">
        <v>8.02</v>
      </c>
      <c r="C191" s="116"/>
      <c r="D191" s="72"/>
      <c r="E191" s="72"/>
      <c r="F191" s="73"/>
      <c r="G191" s="73"/>
    </row>
    <row r="192" ht="84.75" spans="1:7">
      <c r="A192" s="266" t="s">
        <v>225</v>
      </c>
      <c r="B192" s="78">
        <v>4.812</v>
      </c>
      <c r="C192" s="116"/>
      <c r="D192" s="72"/>
      <c r="E192" s="72">
        <v>2.59395</v>
      </c>
      <c r="F192" s="73">
        <v>1.9476</v>
      </c>
      <c r="G192" s="73">
        <v>13.38</v>
      </c>
    </row>
    <row r="195" spans="1:3">
      <c r="A195" s="531" t="s">
        <v>226</v>
      </c>
      <c r="B195" s="95">
        <f>AVERAGE(B143:B182)</f>
        <v>4.32325</v>
      </c>
      <c r="C195" s="95"/>
    </row>
    <row r="196" spans="1:3">
      <c r="A196" s="531" t="s">
        <v>227</v>
      </c>
      <c r="B196" s="96">
        <f>AVERAGE(B148:B177)</f>
        <v>3.246</v>
      </c>
      <c r="C196" s="96"/>
    </row>
    <row r="197" spans="1:3">
      <c r="A197" s="531" t="s">
        <v>228</v>
      </c>
      <c r="B197" s="96">
        <f>AVERAGE(B154:B172)</f>
        <v>2.54421052631579</v>
      </c>
      <c r="C197" s="96"/>
    </row>
    <row r="200" customHeight="1" spans="1:7">
      <c r="A200" s="83" t="s">
        <v>165</v>
      </c>
      <c r="B200" s="83" t="s">
        <v>234</v>
      </c>
      <c r="C200" s="83"/>
      <c r="D200" s="83"/>
      <c r="E200" s="86">
        <f>(1-E255)^(1/3)-1</f>
        <v>-0.033832578508469</v>
      </c>
      <c r="F200" s="86">
        <f>(1-F255)^(1/3)-1</f>
        <v>-0.0398286563876381</v>
      </c>
      <c r="G200" s="86"/>
    </row>
    <row r="201" ht="72" spans="1:7">
      <c r="A201" s="83"/>
      <c r="B201" s="83" t="s">
        <v>167</v>
      </c>
      <c r="C201" s="83"/>
      <c r="D201" s="83" t="s">
        <v>168</v>
      </c>
      <c r="E201" s="83" t="s">
        <v>169</v>
      </c>
      <c r="F201" s="84" t="s">
        <v>169</v>
      </c>
      <c r="G201" s="84"/>
    </row>
    <row r="202" ht="24" spans="1:7">
      <c r="A202" s="83"/>
      <c r="B202" s="83" t="s">
        <v>235</v>
      </c>
      <c r="C202" s="83"/>
      <c r="D202" s="83" t="s">
        <v>171</v>
      </c>
      <c r="E202" s="534" t="s">
        <v>227</v>
      </c>
      <c r="F202" s="84"/>
      <c r="G202" s="267"/>
    </row>
    <row r="203" spans="1:7">
      <c r="A203" s="75">
        <v>1</v>
      </c>
      <c r="B203" s="76">
        <v>2</v>
      </c>
      <c r="C203" s="76"/>
      <c r="D203" s="76">
        <v>3</v>
      </c>
      <c r="E203" s="76">
        <v>4</v>
      </c>
      <c r="F203" s="77">
        <v>5</v>
      </c>
      <c r="G203" s="77"/>
    </row>
    <row r="204" spans="1:7">
      <c r="A204" s="530" t="s">
        <v>172</v>
      </c>
      <c r="B204" s="93">
        <v>0.01</v>
      </c>
      <c r="C204" s="89">
        <v>0</v>
      </c>
      <c r="D204" s="80">
        <v>0</v>
      </c>
      <c r="E204" s="80">
        <v>0</v>
      </c>
      <c r="F204" s="81">
        <v>0</v>
      </c>
      <c r="G204" s="81">
        <v>0</v>
      </c>
    </row>
    <row r="205" spans="1:7">
      <c r="A205" s="530" t="s">
        <v>173</v>
      </c>
      <c r="B205" s="294">
        <v>0.014</v>
      </c>
      <c r="C205" s="79">
        <f>B204</f>
        <v>0.01</v>
      </c>
      <c r="D205" s="80">
        <v>0</v>
      </c>
      <c r="E205" s="80">
        <v>0</v>
      </c>
      <c r="F205" s="81">
        <v>0</v>
      </c>
      <c r="G205" s="81">
        <v>0</v>
      </c>
    </row>
    <row r="206" spans="1:7">
      <c r="A206" s="530" t="s">
        <v>174</v>
      </c>
      <c r="B206" s="294">
        <v>0.02</v>
      </c>
      <c r="C206" s="79">
        <f t="shared" ref="C206:C254" si="3">B205</f>
        <v>0.014</v>
      </c>
      <c r="D206" s="80">
        <v>0</v>
      </c>
      <c r="E206" s="80">
        <v>0</v>
      </c>
      <c r="F206" s="81">
        <v>0</v>
      </c>
      <c r="G206" s="81">
        <v>0</v>
      </c>
    </row>
    <row r="207" spans="1:7">
      <c r="A207" s="530" t="s">
        <v>175</v>
      </c>
      <c r="B207" s="294">
        <v>0.033</v>
      </c>
      <c r="C207" s="79">
        <f t="shared" si="3"/>
        <v>0.02</v>
      </c>
      <c r="D207" s="80">
        <v>0</v>
      </c>
      <c r="E207" s="80">
        <v>0</v>
      </c>
      <c r="F207" s="81">
        <v>0</v>
      </c>
      <c r="G207" s="81">
        <v>0</v>
      </c>
    </row>
    <row r="208" spans="1:7">
      <c r="A208" s="530" t="s">
        <v>176</v>
      </c>
      <c r="B208" s="294">
        <v>0.053</v>
      </c>
      <c r="C208" s="79">
        <f t="shared" si="3"/>
        <v>0.033</v>
      </c>
      <c r="D208" s="80">
        <v>0</v>
      </c>
      <c r="E208" s="80">
        <v>0</v>
      </c>
      <c r="F208" s="81">
        <v>0</v>
      </c>
      <c r="G208" s="81">
        <v>0</v>
      </c>
    </row>
    <row r="209" spans="1:7">
      <c r="A209" s="530" t="s">
        <v>177</v>
      </c>
      <c r="B209" s="294">
        <v>0.074</v>
      </c>
      <c r="C209" s="79">
        <f t="shared" si="3"/>
        <v>0.053</v>
      </c>
      <c r="D209" s="80">
        <v>0</v>
      </c>
      <c r="E209" s="80">
        <v>0</v>
      </c>
      <c r="F209" s="81">
        <v>0</v>
      </c>
      <c r="G209" s="81">
        <v>0</v>
      </c>
    </row>
    <row r="210" spans="1:7">
      <c r="A210" s="530" t="s">
        <v>178</v>
      </c>
      <c r="B210" s="294">
        <v>0.096</v>
      </c>
      <c r="C210" s="79">
        <f t="shared" si="3"/>
        <v>0.074</v>
      </c>
      <c r="D210" s="80">
        <v>0</v>
      </c>
      <c r="E210" s="80">
        <v>0</v>
      </c>
      <c r="F210" s="81">
        <v>0</v>
      </c>
      <c r="G210" s="81">
        <v>0</v>
      </c>
    </row>
    <row r="211" spans="1:7">
      <c r="A211" s="78" t="s">
        <v>179</v>
      </c>
      <c r="B211" s="294">
        <v>0.122</v>
      </c>
      <c r="C211" s="79">
        <f t="shared" si="3"/>
        <v>0.096</v>
      </c>
      <c r="D211" s="80">
        <v>0</v>
      </c>
      <c r="E211" s="80">
        <v>0</v>
      </c>
      <c r="F211" s="81">
        <v>0</v>
      </c>
      <c r="G211" s="81">
        <v>0</v>
      </c>
    </row>
    <row r="212" spans="1:7">
      <c r="A212" s="78" t="s">
        <v>180</v>
      </c>
      <c r="B212" s="294">
        <v>0.169</v>
      </c>
      <c r="C212" s="79">
        <f t="shared" si="3"/>
        <v>0.122</v>
      </c>
      <c r="D212" s="80">
        <v>0</v>
      </c>
      <c r="E212" s="80">
        <v>0</v>
      </c>
      <c r="F212" s="81">
        <v>0</v>
      </c>
      <c r="G212" s="81">
        <v>0</v>
      </c>
    </row>
    <row r="213" spans="1:7">
      <c r="A213" s="78" t="s">
        <v>181</v>
      </c>
      <c r="B213" s="294">
        <v>0.22</v>
      </c>
      <c r="C213" s="79">
        <f t="shared" si="3"/>
        <v>0.169</v>
      </c>
      <c r="D213" s="80">
        <v>0</v>
      </c>
      <c r="E213" s="80">
        <v>0</v>
      </c>
      <c r="F213" s="81">
        <v>0</v>
      </c>
      <c r="G213" s="81">
        <v>0</v>
      </c>
    </row>
    <row r="214" spans="1:7">
      <c r="A214" s="78" t="s">
        <v>182</v>
      </c>
      <c r="B214" s="294">
        <v>0.312</v>
      </c>
      <c r="C214" s="79">
        <f t="shared" si="3"/>
        <v>0.22</v>
      </c>
      <c r="D214" s="80">
        <v>0</v>
      </c>
      <c r="E214" s="80">
        <v>0</v>
      </c>
      <c r="F214" s="81">
        <v>0</v>
      </c>
      <c r="G214" s="81">
        <v>0</v>
      </c>
    </row>
    <row r="215" spans="1:7">
      <c r="A215" s="78" t="s">
        <v>183</v>
      </c>
      <c r="B215" s="294">
        <v>0.398</v>
      </c>
      <c r="C215" s="79">
        <f t="shared" si="3"/>
        <v>0.312</v>
      </c>
      <c r="D215" s="80">
        <v>0</v>
      </c>
      <c r="E215" s="80">
        <v>0</v>
      </c>
      <c r="F215" s="81">
        <v>0</v>
      </c>
      <c r="G215" s="81">
        <v>0</v>
      </c>
    </row>
    <row r="216" spans="1:7">
      <c r="A216" s="78" t="s">
        <v>184</v>
      </c>
      <c r="B216" s="294">
        <v>0.511</v>
      </c>
      <c r="C216" s="79">
        <f t="shared" si="3"/>
        <v>0.398</v>
      </c>
      <c r="D216" s="80">
        <v>0</v>
      </c>
      <c r="E216" s="80">
        <v>0</v>
      </c>
      <c r="F216" s="81">
        <v>0</v>
      </c>
      <c r="G216" s="81">
        <v>0</v>
      </c>
    </row>
    <row r="217" spans="1:7">
      <c r="A217" s="78" t="s">
        <v>185</v>
      </c>
      <c r="B217" s="294">
        <v>0.643</v>
      </c>
      <c r="C217" s="79">
        <f t="shared" si="3"/>
        <v>0.511</v>
      </c>
      <c r="D217" s="80">
        <v>0</v>
      </c>
      <c r="E217" s="80">
        <v>0</v>
      </c>
      <c r="F217" s="81">
        <v>0</v>
      </c>
      <c r="G217" s="81">
        <v>0</v>
      </c>
    </row>
    <row r="218" spans="1:7">
      <c r="A218" s="78" t="s">
        <v>186</v>
      </c>
      <c r="B218" s="294">
        <v>0.787</v>
      </c>
      <c r="C218" s="79">
        <f t="shared" si="3"/>
        <v>0.643</v>
      </c>
      <c r="D218" s="80">
        <v>0</v>
      </c>
      <c r="E218" s="80">
        <v>0</v>
      </c>
      <c r="F218" s="81">
        <v>0</v>
      </c>
      <c r="G218" s="81">
        <v>0</v>
      </c>
    </row>
    <row r="219" spans="1:7">
      <c r="A219" s="78" t="s">
        <v>187</v>
      </c>
      <c r="B219" s="294">
        <v>0.972</v>
      </c>
      <c r="C219" s="79">
        <f t="shared" si="3"/>
        <v>0.787</v>
      </c>
      <c r="D219" s="80">
        <v>0</v>
      </c>
      <c r="E219" s="80">
        <v>0</v>
      </c>
      <c r="F219" s="81">
        <v>0</v>
      </c>
      <c r="G219" s="81">
        <v>0</v>
      </c>
    </row>
    <row r="220" spans="1:7">
      <c r="A220" s="78" t="s">
        <v>188</v>
      </c>
      <c r="B220" s="294">
        <v>1.079</v>
      </c>
      <c r="C220" s="79">
        <f t="shared" si="3"/>
        <v>0.972</v>
      </c>
      <c r="D220" s="80">
        <v>0</v>
      </c>
      <c r="E220" s="80">
        <v>0</v>
      </c>
      <c r="F220" s="81">
        <v>0</v>
      </c>
      <c r="G220" s="81">
        <v>0</v>
      </c>
    </row>
    <row r="221" spans="1:7">
      <c r="A221" s="78" t="s">
        <v>189</v>
      </c>
      <c r="B221" s="294">
        <v>1.259</v>
      </c>
      <c r="C221" s="79">
        <f t="shared" si="3"/>
        <v>1.079</v>
      </c>
      <c r="D221" s="80">
        <v>0</v>
      </c>
      <c r="E221" s="80">
        <v>0</v>
      </c>
      <c r="F221" s="81">
        <v>0</v>
      </c>
      <c r="G221" s="81">
        <v>0</v>
      </c>
    </row>
    <row r="222" spans="1:7">
      <c r="A222" s="78" t="s">
        <v>190</v>
      </c>
      <c r="B222" s="294">
        <v>1.446</v>
      </c>
      <c r="C222" s="79">
        <f t="shared" si="3"/>
        <v>1.259</v>
      </c>
      <c r="D222" s="80">
        <v>0</v>
      </c>
      <c r="E222" s="80">
        <v>0</v>
      </c>
      <c r="F222" s="81">
        <v>0</v>
      </c>
      <c r="G222" s="81">
        <v>0</v>
      </c>
    </row>
    <row r="223" spans="1:7">
      <c r="A223" s="78" t="s">
        <v>191</v>
      </c>
      <c r="B223" s="294">
        <v>1.621</v>
      </c>
      <c r="C223" s="79">
        <f t="shared" si="3"/>
        <v>1.446</v>
      </c>
      <c r="D223" s="80">
        <v>0</v>
      </c>
      <c r="E223" s="80">
        <v>0</v>
      </c>
      <c r="F223" s="81">
        <v>0</v>
      </c>
      <c r="G223" s="81">
        <v>0</v>
      </c>
    </row>
    <row r="224" spans="1:7">
      <c r="A224" s="78" t="s">
        <v>192</v>
      </c>
      <c r="B224" s="294">
        <v>1.803</v>
      </c>
      <c r="C224" s="79">
        <f t="shared" si="3"/>
        <v>1.621</v>
      </c>
      <c r="D224" s="80">
        <v>0</v>
      </c>
      <c r="E224" s="80">
        <v>0</v>
      </c>
      <c r="F224" s="81">
        <v>0</v>
      </c>
      <c r="G224" s="81">
        <v>0</v>
      </c>
    </row>
    <row r="225" spans="1:7">
      <c r="A225" s="78" t="s">
        <v>193</v>
      </c>
      <c r="B225" s="294">
        <v>2.04</v>
      </c>
      <c r="C225" s="79">
        <f t="shared" si="3"/>
        <v>1.803</v>
      </c>
      <c r="D225" s="80">
        <v>0</v>
      </c>
      <c r="E225" s="80">
        <v>0</v>
      </c>
      <c r="F225" s="81">
        <v>0</v>
      </c>
      <c r="G225" s="81">
        <v>0</v>
      </c>
    </row>
    <row r="226" spans="1:7">
      <c r="A226" s="78" t="s">
        <v>194</v>
      </c>
      <c r="B226" s="294">
        <v>2.392</v>
      </c>
      <c r="C226" s="79">
        <f t="shared" si="3"/>
        <v>2.04</v>
      </c>
      <c r="D226" s="80">
        <v>0</v>
      </c>
      <c r="E226" s="80">
        <v>0</v>
      </c>
      <c r="F226" s="81">
        <v>0</v>
      </c>
      <c r="G226" s="81">
        <v>0</v>
      </c>
    </row>
    <row r="227" spans="1:7">
      <c r="A227" s="78" t="s">
        <v>195</v>
      </c>
      <c r="B227" s="294">
        <v>2.839</v>
      </c>
      <c r="C227" s="79">
        <f t="shared" si="3"/>
        <v>2.392</v>
      </c>
      <c r="D227" s="80">
        <v>0</v>
      </c>
      <c r="E227" s="80">
        <v>0</v>
      </c>
      <c r="F227" s="81">
        <v>0</v>
      </c>
      <c r="G227" s="81">
        <v>0</v>
      </c>
    </row>
    <row r="228" spans="1:7">
      <c r="A228" s="78" t="s">
        <v>196</v>
      </c>
      <c r="B228" s="294">
        <v>3.255</v>
      </c>
      <c r="C228" s="79">
        <f t="shared" si="3"/>
        <v>2.839</v>
      </c>
      <c r="D228" s="80">
        <v>0</v>
      </c>
      <c r="E228" s="80">
        <v>0</v>
      </c>
      <c r="F228" s="81">
        <v>0</v>
      </c>
      <c r="G228" s="81">
        <v>0</v>
      </c>
    </row>
    <row r="229" spans="1:7">
      <c r="A229" s="78" t="s">
        <v>197</v>
      </c>
      <c r="B229" s="294">
        <v>3.794</v>
      </c>
      <c r="C229" s="79">
        <f t="shared" si="3"/>
        <v>3.255</v>
      </c>
      <c r="D229" s="80">
        <v>0</v>
      </c>
      <c r="E229" s="80">
        <v>0</v>
      </c>
      <c r="F229" s="81">
        <v>0.00953979968371112</v>
      </c>
      <c r="G229" s="81">
        <v>0</v>
      </c>
    </row>
    <row r="230" spans="1:7">
      <c r="A230" s="78" t="s">
        <v>198</v>
      </c>
      <c r="B230" s="294">
        <v>4.341</v>
      </c>
      <c r="C230" s="79">
        <f t="shared" si="3"/>
        <v>3.794</v>
      </c>
      <c r="D230" s="80">
        <v>0</v>
      </c>
      <c r="E230" s="80">
        <v>0</v>
      </c>
      <c r="F230" s="81">
        <v>0.0209384934346925</v>
      </c>
      <c r="G230" s="81">
        <v>0</v>
      </c>
    </row>
    <row r="231" spans="1:7">
      <c r="A231" s="78" t="s">
        <v>199</v>
      </c>
      <c r="B231" s="294">
        <v>4.89</v>
      </c>
      <c r="C231" s="79">
        <f t="shared" si="3"/>
        <v>4.341</v>
      </c>
      <c r="D231" s="80">
        <v>0.0904539877300613</v>
      </c>
      <c r="E231" s="80"/>
      <c r="F231" s="81">
        <v>0.0298147239263804</v>
      </c>
      <c r="G231" s="81">
        <v>0</v>
      </c>
    </row>
    <row r="232" spans="1:7">
      <c r="A232" s="78" t="s">
        <v>200</v>
      </c>
      <c r="B232" s="294">
        <v>5.673</v>
      </c>
      <c r="C232" s="79">
        <f t="shared" si="3"/>
        <v>4.89</v>
      </c>
      <c r="D232" s="80">
        <v>0.215991538868324</v>
      </c>
      <c r="E232" s="80">
        <v>0.0215991538868324</v>
      </c>
      <c r="F232" s="81">
        <v>0.0395018508725542</v>
      </c>
      <c r="G232" s="81">
        <v>0.011158117398202</v>
      </c>
    </row>
    <row r="233" spans="1:7">
      <c r="A233" s="78" t="s">
        <v>201</v>
      </c>
      <c r="B233" s="294">
        <v>6.325</v>
      </c>
      <c r="C233" s="79">
        <f t="shared" si="3"/>
        <v>5.673</v>
      </c>
      <c r="D233" s="80">
        <v>0.296809486166008</v>
      </c>
      <c r="E233" s="80">
        <v>0.0296809486166008</v>
      </c>
      <c r="F233" s="81">
        <v>0.0744290909090909</v>
      </c>
      <c r="G233" s="81">
        <v>0.0203162055335968</v>
      </c>
    </row>
    <row r="234" spans="1:7">
      <c r="A234" s="78" t="s">
        <v>202</v>
      </c>
      <c r="B234" s="294">
        <v>7.824</v>
      </c>
      <c r="C234" s="79">
        <f t="shared" si="3"/>
        <v>6.325</v>
      </c>
      <c r="D234" s="80">
        <v>0.431533742331288</v>
      </c>
      <c r="E234" s="80">
        <v>0.058920245398773</v>
      </c>
      <c r="F234" s="81">
        <v>0.136805214723926</v>
      </c>
      <c r="G234" s="81">
        <v>0.0355828220858896</v>
      </c>
    </row>
    <row r="235" spans="1:7">
      <c r="A235" s="78" t="s">
        <v>203</v>
      </c>
      <c r="B235" s="294">
        <v>8.894</v>
      </c>
      <c r="C235" s="79">
        <f t="shared" si="3"/>
        <v>7.824</v>
      </c>
      <c r="D235" s="80">
        <v>0.499923543962222</v>
      </c>
      <c r="E235" s="80">
        <v>0.099954126377333</v>
      </c>
      <c r="F235" s="81">
        <v>0.16846908027884</v>
      </c>
      <c r="G235" s="81">
        <v>0.059995502586013</v>
      </c>
    </row>
    <row r="236" spans="1:7">
      <c r="A236" s="78" t="s">
        <v>204</v>
      </c>
      <c r="B236" s="294">
        <v>9.483</v>
      </c>
      <c r="C236" s="79">
        <f t="shared" si="3"/>
        <v>8.894</v>
      </c>
      <c r="D236" s="80">
        <v>0.530983865865232</v>
      </c>
      <c r="E236" s="80">
        <v>0.11859031951914</v>
      </c>
      <c r="F236" s="81">
        <v>0.182849731097754</v>
      </c>
      <c r="G236" s="81">
        <v>0.0811135716545397</v>
      </c>
    </row>
    <row r="237" spans="1:7">
      <c r="A237" s="78" t="s">
        <v>205</v>
      </c>
      <c r="B237" s="294">
        <v>10.336</v>
      </c>
      <c r="C237" s="79">
        <f t="shared" si="3"/>
        <v>9.483</v>
      </c>
      <c r="D237" s="80">
        <v>0.56969040247678</v>
      </c>
      <c r="E237" s="80">
        <v>0.141814241486068</v>
      </c>
      <c r="F237" s="81">
        <v>0.200770510835913</v>
      </c>
      <c r="G237" s="81">
        <v>0.107430340557276</v>
      </c>
    </row>
    <row r="238" spans="1:7">
      <c r="A238" s="78" t="s">
        <v>206</v>
      </c>
      <c r="B238" s="294">
        <v>11.424</v>
      </c>
      <c r="C238" s="79">
        <f t="shared" si="3"/>
        <v>10.336</v>
      </c>
      <c r="D238" s="80">
        <v>0.610672268907563</v>
      </c>
      <c r="E238" s="80">
        <v>0.166403361344538</v>
      </c>
      <c r="F238" s="81">
        <v>0.21974474789916</v>
      </c>
      <c r="G238" s="81">
        <v>0.135294117647059</v>
      </c>
    </row>
    <row r="239" spans="1:7">
      <c r="A239" s="78" t="s">
        <v>207</v>
      </c>
      <c r="B239" s="294">
        <v>12.603</v>
      </c>
      <c r="C239" s="79">
        <f t="shared" si="3"/>
        <v>11.424</v>
      </c>
      <c r="D239" s="80">
        <v>0.647093549154963</v>
      </c>
      <c r="E239" s="80">
        <v>0.188256129492978</v>
      </c>
      <c r="F239" s="81">
        <v>0.236607474410855</v>
      </c>
      <c r="G239" s="81">
        <v>0.160057129254939</v>
      </c>
    </row>
    <row r="240" spans="1:7">
      <c r="A240" s="78" t="s">
        <v>208</v>
      </c>
      <c r="B240" s="294">
        <v>13.911</v>
      </c>
      <c r="C240" s="79">
        <f t="shared" si="3"/>
        <v>12.603</v>
      </c>
      <c r="D240" s="80">
        <v>0.680276040543455</v>
      </c>
      <c r="E240" s="80">
        <v>0.208165624326073</v>
      </c>
      <c r="F240" s="81">
        <v>0.251970670692258</v>
      </c>
      <c r="G240" s="81">
        <v>0.182618072029329</v>
      </c>
    </row>
    <row r="241" spans="1:7">
      <c r="A241" s="78" t="s">
        <v>209</v>
      </c>
      <c r="B241" s="294">
        <v>15.571</v>
      </c>
      <c r="C241" s="79">
        <f t="shared" si="3"/>
        <v>13.911</v>
      </c>
      <c r="D241" s="80">
        <v>0.71436131269668</v>
      </c>
      <c r="E241" s="80">
        <v>0.228616787618008</v>
      </c>
      <c r="F241" s="81">
        <v>0.267751846381093</v>
      </c>
      <c r="G241" s="81">
        <v>0.205792819985871</v>
      </c>
    </row>
    <row r="242" spans="1:7">
      <c r="A242" s="78" t="s">
        <v>210</v>
      </c>
      <c r="B242" s="294">
        <v>17.049</v>
      </c>
      <c r="C242" s="79">
        <f t="shared" si="3"/>
        <v>15.571</v>
      </c>
      <c r="D242" s="80">
        <v>0.739123702269928</v>
      </c>
      <c r="E242" s="80">
        <v>0.243474221361957</v>
      </c>
      <c r="F242" s="81">
        <v>0.279216610944923</v>
      </c>
      <c r="G242" s="81">
        <v>0.222628893190216</v>
      </c>
    </row>
    <row r="243" spans="1:7">
      <c r="A243" s="78" t="s">
        <v>211</v>
      </c>
      <c r="B243" s="294">
        <v>18.128</v>
      </c>
      <c r="C243" s="79">
        <f t="shared" si="3"/>
        <v>17.049</v>
      </c>
      <c r="D243" s="80">
        <v>0.754651368049426</v>
      </c>
      <c r="E243" s="80">
        <v>0.252790820829656</v>
      </c>
      <c r="F243" s="81">
        <v>0.286405781112092</v>
      </c>
      <c r="G243" s="81">
        <v>0.233186231244484</v>
      </c>
    </row>
    <row r="244" spans="1:7">
      <c r="A244" s="78" t="s">
        <v>212</v>
      </c>
      <c r="B244" s="294">
        <v>20.109</v>
      </c>
      <c r="C244" s="79">
        <f t="shared" si="3"/>
        <v>18.128</v>
      </c>
      <c r="D244" s="80">
        <v>0.778821423243324</v>
      </c>
      <c r="E244" s="80">
        <v>0.267292853945994</v>
      </c>
      <c r="F244" s="81">
        <v>0.297596300164106</v>
      </c>
      <c r="G244" s="81">
        <v>0.249619573325377</v>
      </c>
    </row>
    <row r="245" spans="1:7">
      <c r="A245" s="78" t="s">
        <v>213</v>
      </c>
      <c r="B245" s="294">
        <v>23.138</v>
      </c>
      <c r="C245" s="79">
        <f t="shared" si="3"/>
        <v>20.109</v>
      </c>
      <c r="D245" s="80">
        <v>0.807775952977785</v>
      </c>
      <c r="E245" s="80">
        <v>0.284665571786671</v>
      </c>
      <c r="F245" s="81">
        <v>0.311001988071571</v>
      </c>
      <c r="G245" s="81">
        <v>0.269305903708186</v>
      </c>
    </row>
    <row r="246" spans="1:7">
      <c r="A246" s="78" t="s">
        <v>214</v>
      </c>
      <c r="B246" s="294">
        <v>25.034</v>
      </c>
      <c r="C246" s="79">
        <f t="shared" si="3"/>
        <v>23.138</v>
      </c>
      <c r="D246" s="80">
        <v>0.822334425181753</v>
      </c>
      <c r="E246" s="80">
        <v>0.293400655109052</v>
      </c>
      <c r="F246" s="81">
        <v>0.317742430294799</v>
      </c>
      <c r="G246" s="81">
        <v>0.27920428217624</v>
      </c>
    </row>
    <row r="247" spans="1:7">
      <c r="A247" s="78" t="s">
        <v>215</v>
      </c>
      <c r="B247" s="294">
        <v>26.502</v>
      </c>
      <c r="C247" s="79">
        <f t="shared" si="3"/>
        <v>25.034</v>
      </c>
      <c r="D247" s="80">
        <v>0.832175684853973</v>
      </c>
      <c r="E247" s="80">
        <v>0.299305410912384</v>
      </c>
      <c r="F247" s="81">
        <v>0.322298845370161</v>
      </c>
      <c r="G247" s="81">
        <v>0.285895404120444</v>
      </c>
    </row>
    <row r="248" spans="1:7">
      <c r="A248" s="78" t="s">
        <v>216</v>
      </c>
      <c r="B248" s="294">
        <v>29.445</v>
      </c>
      <c r="C248" s="79">
        <f t="shared" si="3"/>
        <v>26.502</v>
      </c>
      <c r="D248" s="80">
        <v>0.848949566989302</v>
      </c>
      <c r="E248" s="80">
        <v>0.309369740193581</v>
      </c>
      <c r="F248" s="81">
        <v>0.330065002547122</v>
      </c>
      <c r="G248" s="81">
        <v>0.297300050942435</v>
      </c>
    </row>
    <row r="249" spans="1:7">
      <c r="A249" s="78" t="s">
        <v>217</v>
      </c>
      <c r="B249" s="294">
        <v>34.153</v>
      </c>
      <c r="C249" s="79">
        <f t="shared" si="3"/>
        <v>29.445</v>
      </c>
      <c r="D249" s="80">
        <v>0.869771908763505</v>
      </c>
      <c r="E249" s="80">
        <v>0.321863145258103</v>
      </c>
      <c r="F249" s="81">
        <v>0.33970556027289</v>
      </c>
      <c r="G249" s="81">
        <v>0.311457265833163</v>
      </c>
    </row>
    <row r="250" spans="1:7">
      <c r="A250" s="78" t="s">
        <v>218</v>
      </c>
      <c r="B250" s="294">
        <v>36.256</v>
      </c>
      <c r="C250" s="79">
        <f t="shared" si="3"/>
        <v>34.153</v>
      </c>
      <c r="D250" s="80">
        <v>0.877325684024713</v>
      </c>
      <c r="E250" s="80">
        <v>0.326395410414828</v>
      </c>
      <c r="F250" s="81">
        <v>0.343202890556046</v>
      </c>
      <c r="G250" s="81">
        <v>0.316593115622242</v>
      </c>
    </row>
    <row r="251" spans="1:7">
      <c r="A251" s="78" t="s">
        <v>219</v>
      </c>
      <c r="B251" s="294">
        <v>41.479</v>
      </c>
      <c r="C251" s="79">
        <f t="shared" si="3"/>
        <v>36.256</v>
      </c>
      <c r="D251" s="80">
        <v>0.892772728368572</v>
      </c>
      <c r="E251" s="80">
        <v>0.335663637021143</v>
      </c>
      <c r="F251" s="81">
        <v>0.350354733720678</v>
      </c>
      <c r="G251" s="81">
        <v>0.327095638756961</v>
      </c>
    </row>
    <row r="252" spans="1:7">
      <c r="A252" s="78" t="s">
        <v>220</v>
      </c>
      <c r="B252" s="294">
        <v>47.941</v>
      </c>
      <c r="C252" s="79">
        <f t="shared" si="3"/>
        <v>41.479</v>
      </c>
      <c r="D252" s="80">
        <v>0.907225965248952</v>
      </c>
      <c r="E252" s="80">
        <v>0.344335579149371</v>
      </c>
      <c r="F252" s="81">
        <v>0.357046452931729</v>
      </c>
      <c r="G252" s="81">
        <v>0.336922467199266</v>
      </c>
    </row>
    <row r="253" spans="1:7">
      <c r="A253" s="78" t="s">
        <v>221</v>
      </c>
      <c r="B253" s="294">
        <v>60</v>
      </c>
      <c r="C253" s="79">
        <f t="shared" si="3"/>
        <v>47.941</v>
      </c>
      <c r="D253" s="80">
        <v>0.925872</v>
      </c>
      <c r="E253" s="80">
        <v>0.3555232</v>
      </c>
      <c r="F253" s="81">
        <v>0.3656794</v>
      </c>
      <c r="G253" s="81">
        <v>0.3496</v>
      </c>
    </row>
    <row r="254" spans="1:7">
      <c r="A254" s="78" t="s">
        <v>221</v>
      </c>
      <c r="B254" s="78" t="s">
        <v>382</v>
      </c>
      <c r="C254" s="79">
        <f t="shared" si="3"/>
        <v>60</v>
      </c>
      <c r="D254" s="117"/>
      <c r="E254" s="83"/>
      <c r="F254" s="84"/>
      <c r="G254" s="84"/>
    </row>
    <row r="255" spans="1:7">
      <c r="A255" s="78"/>
      <c r="B255" s="78">
        <v>5.4</v>
      </c>
      <c r="C255" s="78"/>
      <c r="D255" s="117"/>
      <c r="E255" s="85">
        <v>0.0981025316564418</v>
      </c>
      <c r="F255" s="86">
        <v>0.114790184622647</v>
      </c>
      <c r="G255" s="86">
        <v>0.0895633504970346</v>
      </c>
    </row>
    <row r="256" ht="48" spans="1:7">
      <c r="A256" s="87" t="s">
        <v>233</v>
      </c>
      <c r="B256" s="78">
        <v>8.4</v>
      </c>
      <c r="C256" s="78"/>
      <c r="D256" s="117"/>
      <c r="E256" s="127">
        <v>7.4128</v>
      </c>
      <c r="F256" s="128">
        <v>5.7201</v>
      </c>
      <c r="G256" s="129">
        <v>8.4</v>
      </c>
    </row>
    <row r="257" ht="48" spans="1:7">
      <c r="A257" s="87" t="s">
        <v>224</v>
      </c>
      <c r="B257" s="78">
        <v>20.5</v>
      </c>
      <c r="C257" s="78"/>
      <c r="D257" s="83"/>
      <c r="E257" s="83"/>
      <c r="F257" s="84"/>
      <c r="G257" s="84"/>
    </row>
    <row r="258" ht="84" spans="1:7">
      <c r="A258" s="106" t="s">
        <v>225</v>
      </c>
      <c r="B258" s="78">
        <v>12.3</v>
      </c>
      <c r="C258" s="78"/>
      <c r="D258" s="83"/>
      <c r="E258" s="83">
        <v>4.44768</v>
      </c>
      <c r="F258" s="84">
        <v>3.43206</v>
      </c>
      <c r="G258" s="84">
        <v>5.04</v>
      </c>
    </row>
    <row r="261" spans="1:3">
      <c r="A261" s="531" t="s">
        <v>226</v>
      </c>
      <c r="B261" s="95">
        <f>AVERAGE(B209:B248)</f>
        <v>7.4128</v>
      </c>
      <c r="C261" s="95"/>
    </row>
    <row r="262" spans="1:3">
      <c r="A262" s="531" t="s">
        <v>227</v>
      </c>
      <c r="B262" s="96">
        <f>AVERAGE(B214:B243)</f>
        <v>5.7201</v>
      </c>
      <c r="C262" s="96"/>
    </row>
    <row r="263" spans="1:3">
      <c r="A263" s="531" t="s">
        <v>228</v>
      </c>
      <c r="B263" s="96">
        <f>AVERAGE(B220:B238)</f>
        <v>4.77463157894737</v>
      </c>
      <c r="C263" s="96"/>
    </row>
    <row r="265" ht="15.75"/>
    <row r="266" customHeight="1" spans="1:7">
      <c r="A266" s="252" t="s">
        <v>165</v>
      </c>
      <c r="B266" s="268" t="s">
        <v>363</v>
      </c>
      <c r="C266" s="269"/>
      <c r="D266" s="270"/>
      <c r="E266" s="70">
        <f>(1-E321)^(1/3)-1</f>
        <v>0</v>
      </c>
      <c r="F266" s="70">
        <f>(1-F321)^(1/3)-1</f>
        <v>0</v>
      </c>
      <c r="G266" s="70"/>
    </row>
    <row r="267" ht="72.75" spans="1:7">
      <c r="A267" s="253"/>
      <c r="B267" s="83" t="s">
        <v>167</v>
      </c>
      <c r="C267" s="130"/>
      <c r="D267" s="83" t="s">
        <v>168</v>
      </c>
      <c r="E267" s="83" t="s">
        <v>169</v>
      </c>
      <c r="F267" s="84" t="s">
        <v>169</v>
      </c>
      <c r="G267" s="84"/>
    </row>
    <row r="268" ht="24.75" spans="1:7">
      <c r="A268" s="254"/>
      <c r="B268" s="257" t="s">
        <v>364</v>
      </c>
      <c r="D268" s="271" t="s">
        <v>171</v>
      </c>
      <c r="E268" s="271" t="s">
        <v>171</v>
      </c>
      <c r="F268" s="271" t="s">
        <v>171</v>
      </c>
      <c r="G268" s="271"/>
    </row>
    <row r="269" ht="15.75" spans="1:7">
      <c r="A269" s="75">
        <v>1</v>
      </c>
      <c r="B269" s="76">
        <v>2</v>
      </c>
      <c r="D269" s="76">
        <v>3</v>
      </c>
      <c r="E269" s="76">
        <v>4</v>
      </c>
      <c r="F269" s="77">
        <v>5</v>
      </c>
      <c r="G269" s="77"/>
    </row>
    <row r="270" ht="15.75" spans="1:7">
      <c r="A270" s="533" t="s">
        <v>172</v>
      </c>
      <c r="B270" s="272"/>
      <c r="C270">
        <v>0</v>
      </c>
      <c r="D270" s="80">
        <f t="shared" ref="D270:D301" si="4">IF(B270=0,0,IF(B270&lt;=E$324,0,B270-E$324)/B270)</f>
        <v>0</v>
      </c>
      <c r="E270" s="80"/>
      <c r="F270" s="81"/>
      <c r="G270" s="81"/>
    </row>
    <row r="271" ht="15.75" spans="1:7">
      <c r="A271" s="533" t="s">
        <v>173</v>
      </c>
      <c r="B271" s="74"/>
      <c r="C271" s="79">
        <f>B270</f>
        <v>0</v>
      </c>
      <c r="D271" s="80">
        <f t="shared" si="4"/>
        <v>0</v>
      </c>
      <c r="E271" s="80"/>
      <c r="F271" s="81"/>
      <c r="G271" s="81"/>
    </row>
    <row r="272" ht="15.75" spans="1:7">
      <c r="A272" s="533" t="s">
        <v>174</v>
      </c>
      <c r="B272" s="74"/>
      <c r="C272" s="79">
        <f t="shared" ref="C272:C320" si="5">B271</f>
        <v>0</v>
      </c>
      <c r="D272" s="80">
        <f t="shared" si="4"/>
        <v>0</v>
      </c>
      <c r="E272" s="80"/>
      <c r="F272" s="81"/>
      <c r="G272" s="81"/>
    </row>
    <row r="273" ht="15.75" spans="1:7">
      <c r="A273" s="533" t="s">
        <v>175</v>
      </c>
      <c r="B273" s="74"/>
      <c r="C273" s="79">
        <f t="shared" si="5"/>
        <v>0</v>
      </c>
      <c r="D273" s="80">
        <f t="shared" si="4"/>
        <v>0</v>
      </c>
      <c r="E273" s="80"/>
      <c r="F273" s="81"/>
      <c r="G273" s="81"/>
    </row>
    <row r="274" ht="15.75" spans="1:7">
      <c r="A274" s="533" t="s">
        <v>176</v>
      </c>
      <c r="B274" s="74"/>
      <c r="C274" s="79">
        <f t="shared" si="5"/>
        <v>0</v>
      </c>
      <c r="D274" s="80">
        <f t="shared" si="4"/>
        <v>0</v>
      </c>
      <c r="E274" s="80"/>
      <c r="F274" s="81"/>
      <c r="G274" s="81"/>
    </row>
    <row r="275" ht="15.75" spans="1:7">
      <c r="A275" s="533" t="s">
        <v>177</v>
      </c>
      <c r="B275" s="74"/>
      <c r="C275" s="79">
        <f t="shared" si="5"/>
        <v>0</v>
      </c>
      <c r="D275" s="80">
        <f t="shared" si="4"/>
        <v>0</v>
      </c>
      <c r="E275" s="80"/>
      <c r="F275" s="81"/>
      <c r="G275" s="81"/>
    </row>
    <row r="276" ht="15.75" spans="1:7">
      <c r="A276" s="533" t="s">
        <v>178</v>
      </c>
      <c r="B276" s="74"/>
      <c r="C276" s="79">
        <f t="shared" si="5"/>
        <v>0</v>
      </c>
      <c r="D276" s="80">
        <f t="shared" si="4"/>
        <v>0</v>
      </c>
      <c r="E276" s="80"/>
      <c r="F276" s="81"/>
      <c r="G276" s="81"/>
    </row>
    <row r="277" ht="15.75" spans="1:7">
      <c r="A277" s="257" t="s">
        <v>179</v>
      </c>
      <c r="B277" s="74"/>
      <c r="C277" s="79">
        <f t="shared" si="5"/>
        <v>0</v>
      </c>
      <c r="D277" s="80">
        <f t="shared" si="4"/>
        <v>0</v>
      </c>
      <c r="E277" s="80"/>
      <c r="F277" s="81"/>
      <c r="G277" s="81"/>
    </row>
    <row r="278" ht="15.75" spans="1:7">
      <c r="A278" s="257" t="s">
        <v>180</v>
      </c>
      <c r="B278" s="74"/>
      <c r="C278" s="79">
        <f t="shared" si="5"/>
        <v>0</v>
      </c>
      <c r="D278" s="80">
        <f t="shared" si="4"/>
        <v>0</v>
      </c>
      <c r="E278" s="80"/>
      <c r="F278" s="81"/>
      <c r="G278" s="81"/>
    </row>
    <row r="279" ht="15.75" spans="1:7">
      <c r="A279" s="257" t="s">
        <v>181</v>
      </c>
      <c r="B279" s="74"/>
      <c r="C279" s="79">
        <f t="shared" si="5"/>
        <v>0</v>
      </c>
      <c r="D279" s="80">
        <f t="shared" si="4"/>
        <v>0</v>
      </c>
      <c r="E279" s="80"/>
      <c r="F279" s="81"/>
      <c r="G279" s="81"/>
    </row>
    <row r="280" ht="15.75" spans="1:7">
      <c r="A280" s="257" t="s">
        <v>182</v>
      </c>
      <c r="B280" s="74"/>
      <c r="C280" s="79">
        <f t="shared" si="5"/>
        <v>0</v>
      </c>
      <c r="D280" s="80">
        <f t="shared" si="4"/>
        <v>0</v>
      </c>
      <c r="E280" s="80"/>
      <c r="F280" s="81"/>
      <c r="G280" s="81"/>
    </row>
    <row r="281" ht="15.75" spans="1:7">
      <c r="A281" s="257" t="s">
        <v>183</v>
      </c>
      <c r="B281" s="74"/>
      <c r="C281" s="79">
        <f t="shared" si="5"/>
        <v>0</v>
      </c>
      <c r="D281" s="80">
        <f t="shared" si="4"/>
        <v>0</v>
      </c>
      <c r="E281" s="80"/>
      <c r="F281" s="81"/>
      <c r="G281" s="81"/>
    </row>
    <row r="282" ht="15.75" spans="1:7">
      <c r="A282" s="257" t="s">
        <v>184</v>
      </c>
      <c r="B282" s="74"/>
      <c r="C282" s="79">
        <f t="shared" si="5"/>
        <v>0</v>
      </c>
      <c r="D282" s="80">
        <f t="shared" si="4"/>
        <v>0</v>
      </c>
      <c r="E282" s="80"/>
      <c r="F282" s="81"/>
      <c r="G282" s="81"/>
    </row>
    <row r="283" ht="15.75" spans="1:7">
      <c r="A283" s="257" t="s">
        <v>185</v>
      </c>
      <c r="B283" s="74"/>
      <c r="C283" s="79">
        <f t="shared" si="5"/>
        <v>0</v>
      </c>
      <c r="D283" s="80">
        <f t="shared" si="4"/>
        <v>0</v>
      </c>
      <c r="E283" s="80"/>
      <c r="F283" s="81"/>
      <c r="G283" s="81"/>
    </row>
    <row r="284" ht="15.75" spans="1:7">
      <c r="A284" s="257" t="s">
        <v>186</v>
      </c>
      <c r="B284" s="74"/>
      <c r="C284" s="79">
        <f t="shared" si="5"/>
        <v>0</v>
      </c>
      <c r="D284" s="80">
        <f t="shared" si="4"/>
        <v>0</v>
      </c>
      <c r="E284" s="80"/>
      <c r="F284" s="81"/>
      <c r="G284" s="81"/>
    </row>
    <row r="285" ht="15.75" spans="1:7">
      <c r="A285" s="257" t="s">
        <v>187</v>
      </c>
      <c r="B285" s="74"/>
      <c r="C285" s="79">
        <f t="shared" si="5"/>
        <v>0</v>
      </c>
      <c r="D285" s="80">
        <f t="shared" si="4"/>
        <v>0</v>
      </c>
      <c r="E285" s="80"/>
      <c r="F285" s="81"/>
      <c r="G285" s="81"/>
    </row>
    <row r="286" ht="15.75" spans="1:7">
      <c r="A286" s="257" t="s">
        <v>188</v>
      </c>
      <c r="B286" s="74"/>
      <c r="C286" s="79">
        <f t="shared" si="5"/>
        <v>0</v>
      </c>
      <c r="D286" s="80">
        <f t="shared" si="4"/>
        <v>0</v>
      </c>
      <c r="E286" s="80"/>
      <c r="F286" s="81"/>
      <c r="G286" s="81"/>
    </row>
    <row r="287" ht="15.75" spans="1:7">
      <c r="A287" s="257" t="s">
        <v>189</v>
      </c>
      <c r="B287" s="74"/>
      <c r="C287" s="79">
        <f t="shared" si="5"/>
        <v>0</v>
      </c>
      <c r="D287" s="80">
        <f t="shared" si="4"/>
        <v>0</v>
      </c>
      <c r="E287" s="80"/>
      <c r="F287" s="81"/>
      <c r="G287" s="81"/>
    </row>
    <row r="288" ht="15.75" spans="1:7">
      <c r="A288" s="257" t="s">
        <v>190</v>
      </c>
      <c r="B288" s="74"/>
      <c r="C288" s="79">
        <f t="shared" si="5"/>
        <v>0</v>
      </c>
      <c r="D288" s="80">
        <f t="shared" si="4"/>
        <v>0</v>
      </c>
      <c r="E288" s="80"/>
      <c r="F288" s="81"/>
      <c r="G288" s="81"/>
    </row>
    <row r="289" ht="15.75" spans="1:7">
      <c r="A289" s="257" t="s">
        <v>191</v>
      </c>
      <c r="B289" s="74"/>
      <c r="C289" s="79">
        <f t="shared" si="5"/>
        <v>0</v>
      </c>
      <c r="D289" s="80">
        <f t="shared" si="4"/>
        <v>0</v>
      </c>
      <c r="E289" s="80"/>
      <c r="F289" s="81"/>
      <c r="G289" s="81"/>
    </row>
    <row r="290" ht="15.75" spans="1:7">
      <c r="A290" s="257" t="s">
        <v>192</v>
      </c>
      <c r="B290" s="74"/>
      <c r="C290" s="79">
        <f t="shared" si="5"/>
        <v>0</v>
      </c>
      <c r="D290" s="80">
        <f t="shared" si="4"/>
        <v>0</v>
      </c>
      <c r="E290" s="80"/>
      <c r="F290" s="81"/>
      <c r="G290" s="81"/>
    </row>
    <row r="291" ht="15.75" spans="1:7">
      <c r="A291" s="257" t="s">
        <v>193</v>
      </c>
      <c r="B291" s="74"/>
      <c r="C291" s="79">
        <f t="shared" si="5"/>
        <v>0</v>
      </c>
      <c r="D291" s="80">
        <f t="shared" si="4"/>
        <v>0</v>
      </c>
      <c r="E291" s="80"/>
      <c r="F291" s="81"/>
      <c r="G291" s="81"/>
    </row>
    <row r="292" ht="15.75" spans="1:7">
      <c r="A292" s="257" t="s">
        <v>194</v>
      </c>
      <c r="B292" s="74"/>
      <c r="C292" s="79">
        <f t="shared" si="5"/>
        <v>0</v>
      </c>
      <c r="D292" s="80">
        <f t="shared" si="4"/>
        <v>0</v>
      </c>
      <c r="E292" s="80"/>
      <c r="F292" s="81"/>
      <c r="G292" s="81"/>
    </row>
    <row r="293" ht="15.75" spans="1:7">
      <c r="A293" s="257" t="s">
        <v>195</v>
      </c>
      <c r="B293" s="74"/>
      <c r="C293" s="79">
        <f t="shared" si="5"/>
        <v>0</v>
      </c>
      <c r="D293" s="80">
        <f t="shared" si="4"/>
        <v>0</v>
      </c>
      <c r="E293" s="80"/>
      <c r="F293" s="81"/>
      <c r="G293" s="81"/>
    </row>
    <row r="294" ht="15.75" spans="1:7">
      <c r="A294" s="257" t="s">
        <v>196</v>
      </c>
      <c r="B294" s="74"/>
      <c r="C294" s="79">
        <f t="shared" si="5"/>
        <v>0</v>
      </c>
      <c r="D294" s="80">
        <f t="shared" si="4"/>
        <v>0</v>
      </c>
      <c r="E294" s="80"/>
      <c r="F294" s="81"/>
      <c r="G294" s="81"/>
    </row>
    <row r="295" ht="15.75" spans="1:7">
      <c r="A295" s="257" t="s">
        <v>197</v>
      </c>
      <c r="B295" s="74"/>
      <c r="C295" s="79">
        <f t="shared" si="5"/>
        <v>0</v>
      </c>
      <c r="D295" s="80">
        <f t="shared" si="4"/>
        <v>0</v>
      </c>
      <c r="E295" s="80"/>
      <c r="F295" s="81"/>
      <c r="G295" s="81"/>
    </row>
    <row r="296" ht="15.75" spans="1:7">
      <c r="A296" s="257" t="s">
        <v>198</v>
      </c>
      <c r="B296" s="74"/>
      <c r="C296" s="79">
        <f t="shared" si="5"/>
        <v>0</v>
      </c>
      <c r="D296" s="80">
        <f t="shared" si="4"/>
        <v>0</v>
      </c>
      <c r="E296" s="80"/>
      <c r="F296" s="81"/>
      <c r="G296" s="81"/>
    </row>
    <row r="297" ht="15.75" spans="1:7">
      <c r="A297" s="257" t="s">
        <v>199</v>
      </c>
      <c r="B297" s="74"/>
      <c r="C297" s="79">
        <f t="shared" si="5"/>
        <v>0</v>
      </c>
      <c r="D297" s="80">
        <f t="shared" si="4"/>
        <v>0</v>
      </c>
      <c r="E297" s="80"/>
      <c r="F297" s="81"/>
      <c r="G297" s="81"/>
    </row>
    <row r="298" ht="15.75" spans="1:7">
      <c r="A298" s="257" t="s">
        <v>200</v>
      </c>
      <c r="B298" s="74"/>
      <c r="C298" s="79">
        <f t="shared" si="5"/>
        <v>0</v>
      </c>
      <c r="D298" s="80">
        <f t="shared" si="4"/>
        <v>0</v>
      </c>
      <c r="E298" s="80"/>
      <c r="F298" s="81"/>
      <c r="G298" s="81"/>
    </row>
    <row r="299" ht="15.75" spans="1:7">
      <c r="A299" s="257" t="s">
        <v>201</v>
      </c>
      <c r="B299" s="74"/>
      <c r="C299" s="79">
        <f t="shared" si="5"/>
        <v>0</v>
      </c>
      <c r="D299" s="80">
        <f t="shared" si="4"/>
        <v>0</v>
      </c>
      <c r="E299" s="80"/>
      <c r="F299" s="81"/>
      <c r="G299" s="81"/>
    </row>
    <row r="300" ht="15.75" spans="1:7">
      <c r="A300" s="257" t="s">
        <v>202</v>
      </c>
      <c r="B300" s="74"/>
      <c r="C300" s="79">
        <f t="shared" si="5"/>
        <v>0</v>
      </c>
      <c r="D300" s="80">
        <f t="shared" si="4"/>
        <v>0</v>
      </c>
      <c r="E300" s="80"/>
      <c r="F300" s="81"/>
      <c r="G300" s="81"/>
    </row>
    <row r="301" ht="15.75" spans="1:7">
      <c r="A301" s="257" t="s">
        <v>203</v>
      </c>
      <c r="B301" s="74"/>
      <c r="C301" s="79">
        <f t="shared" si="5"/>
        <v>0</v>
      </c>
      <c r="D301" s="80">
        <f t="shared" si="4"/>
        <v>0</v>
      </c>
      <c r="E301" s="80"/>
      <c r="F301" s="81"/>
      <c r="G301" s="81"/>
    </row>
    <row r="302" ht="15.75" spans="1:7">
      <c r="A302" s="257" t="s">
        <v>204</v>
      </c>
      <c r="B302" s="74"/>
      <c r="C302" s="79">
        <f t="shared" si="5"/>
        <v>0</v>
      </c>
      <c r="D302" s="80">
        <f t="shared" ref="D302:D319" si="6">IF(B302=0,0,IF(B302&lt;=E$324,0,B302-E$324)/B302)</f>
        <v>0</v>
      </c>
      <c r="E302" s="80"/>
      <c r="F302" s="81"/>
      <c r="G302" s="81"/>
    </row>
    <row r="303" ht="15.75" spans="1:7">
      <c r="A303" s="257" t="s">
        <v>205</v>
      </c>
      <c r="B303" s="74"/>
      <c r="C303" s="79">
        <f t="shared" si="5"/>
        <v>0</v>
      </c>
      <c r="D303" s="80">
        <f t="shared" si="6"/>
        <v>0</v>
      </c>
      <c r="E303" s="80"/>
      <c r="F303" s="81"/>
      <c r="G303" s="81"/>
    </row>
    <row r="304" ht="15.75" spans="1:7">
      <c r="A304" s="257" t="s">
        <v>206</v>
      </c>
      <c r="B304" s="74"/>
      <c r="C304" s="79">
        <f t="shared" si="5"/>
        <v>0</v>
      </c>
      <c r="D304" s="80">
        <f t="shared" si="6"/>
        <v>0</v>
      </c>
      <c r="E304" s="80"/>
      <c r="F304" s="81"/>
      <c r="G304" s="81"/>
    </row>
    <row r="305" ht="15.75" spans="1:7">
      <c r="A305" s="257" t="s">
        <v>207</v>
      </c>
      <c r="B305" s="74"/>
      <c r="C305" s="79">
        <f t="shared" si="5"/>
        <v>0</v>
      </c>
      <c r="D305" s="80">
        <f t="shared" si="6"/>
        <v>0</v>
      </c>
      <c r="E305" s="80"/>
      <c r="F305" s="81"/>
      <c r="G305" s="81"/>
    </row>
    <row r="306" ht="15.75" spans="1:7">
      <c r="A306" s="257" t="s">
        <v>208</v>
      </c>
      <c r="B306" s="74"/>
      <c r="C306" s="79">
        <f t="shared" si="5"/>
        <v>0</v>
      </c>
      <c r="D306" s="80">
        <f t="shared" si="6"/>
        <v>0</v>
      </c>
      <c r="E306" s="80"/>
      <c r="F306" s="81"/>
      <c r="G306" s="81"/>
    </row>
    <row r="307" ht="15.75" spans="1:7">
      <c r="A307" s="257" t="s">
        <v>209</v>
      </c>
      <c r="B307" s="74"/>
      <c r="C307" s="79">
        <f t="shared" si="5"/>
        <v>0</v>
      </c>
      <c r="D307" s="80">
        <f t="shared" si="6"/>
        <v>0</v>
      </c>
      <c r="E307" s="80"/>
      <c r="F307" s="81"/>
      <c r="G307" s="81"/>
    </row>
    <row r="308" ht="15.75" spans="1:7">
      <c r="A308" s="257" t="s">
        <v>210</v>
      </c>
      <c r="B308" s="74"/>
      <c r="C308" s="79">
        <f t="shared" si="5"/>
        <v>0</v>
      </c>
      <c r="D308" s="80">
        <f t="shared" si="6"/>
        <v>0</v>
      </c>
      <c r="E308" s="80"/>
      <c r="F308" s="81"/>
      <c r="G308" s="81"/>
    </row>
    <row r="309" ht="15.75" spans="1:7">
      <c r="A309" s="257" t="s">
        <v>211</v>
      </c>
      <c r="B309" s="74"/>
      <c r="C309" s="79">
        <f t="shared" si="5"/>
        <v>0</v>
      </c>
      <c r="D309" s="80">
        <f t="shared" si="6"/>
        <v>0</v>
      </c>
      <c r="E309" s="80"/>
      <c r="F309" s="81"/>
      <c r="G309" s="81"/>
    </row>
    <row r="310" ht="15.75" spans="1:7">
      <c r="A310" s="257" t="s">
        <v>212</v>
      </c>
      <c r="B310" s="74"/>
      <c r="C310" s="79">
        <f t="shared" si="5"/>
        <v>0</v>
      </c>
      <c r="D310" s="80">
        <f t="shared" si="6"/>
        <v>0</v>
      </c>
      <c r="E310" s="80"/>
      <c r="F310" s="81"/>
      <c r="G310" s="81"/>
    </row>
    <row r="311" ht="15.75" spans="1:7">
      <c r="A311" s="257" t="s">
        <v>213</v>
      </c>
      <c r="B311" s="74"/>
      <c r="C311" s="79">
        <f t="shared" si="5"/>
        <v>0</v>
      </c>
      <c r="D311" s="80">
        <f t="shared" si="6"/>
        <v>0</v>
      </c>
      <c r="E311" s="80"/>
      <c r="F311" s="81"/>
      <c r="G311" s="81"/>
    </row>
    <row r="312" ht="15.75" spans="1:7">
      <c r="A312" s="257" t="s">
        <v>214</v>
      </c>
      <c r="B312" s="74"/>
      <c r="C312" s="79">
        <f t="shared" si="5"/>
        <v>0</v>
      </c>
      <c r="D312" s="80">
        <f t="shared" si="6"/>
        <v>0</v>
      </c>
      <c r="E312" s="80"/>
      <c r="F312" s="81"/>
      <c r="G312" s="81"/>
    </row>
    <row r="313" ht="15.75" spans="1:7">
      <c r="A313" s="257" t="s">
        <v>215</v>
      </c>
      <c r="B313" s="74"/>
      <c r="C313" s="79">
        <f t="shared" si="5"/>
        <v>0</v>
      </c>
      <c r="D313" s="80">
        <f t="shared" si="6"/>
        <v>0</v>
      </c>
      <c r="E313" s="80"/>
      <c r="F313" s="81"/>
      <c r="G313" s="81"/>
    </row>
    <row r="314" ht="15.75" spans="1:7">
      <c r="A314" s="257" t="s">
        <v>216</v>
      </c>
      <c r="B314" s="74"/>
      <c r="C314" s="79">
        <f t="shared" si="5"/>
        <v>0</v>
      </c>
      <c r="D314" s="80">
        <f t="shared" si="6"/>
        <v>0</v>
      </c>
      <c r="E314" s="80"/>
      <c r="F314" s="81"/>
      <c r="G314" s="81"/>
    </row>
    <row r="315" ht="15.75" spans="1:7">
      <c r="A315" s="257" t="s">
        <v>217</v>
      </c>
      <c r="B315" s="74"/>
      <c r="C315" s="79">
        <f t="shared" si="5"/>
        <v>0</v>
      </c>
      <c r="D315" s="80">
        <f t="shared" si="6"/>
        <v>0</v>
      </c>
      <c r="E315" s="80"/>
      <c r="F315" s="81"/>
      <c r="G315" s="81"/>
    </row>
    <row r="316" ht="15.75" spans="1:7">
      <c r="A316" s="257" t="s">
        <v>218</v>
      </c>
      <c r="B316" s="74"/>
      <c r="C316" s="79">
        <f t="shared" si="5"/>
        <v>0</v>
      </c>
      <c r="D316" s="80">
        <f t="shared" si="6"/>
        <v>0</v>
      </c>
      <c r="E316" s="80"/>
      <c r="F316" s="81"/>
      <c r="G316" s="81"/>
    </row>
    <row r="317" ht="15.75" spans="1:7">
      <c r="A317" s="257" t="s">
        <v>219</v>
      </c>
      <c r="B317" s="74"/>
      <c r="C317" s="79">
        <f t="shared" si="5"/>
        <v>0</v>
      </c>
      <c r="D317" s="80">
        <f t="shared" si="6"/>
        <v>0</v>
      </c>
      <c r="E317" s="80"/>
      <c r="F317" s="81"/>
      <c r="G317" s="81"/>
    </row>
    <row r="318" ht="15.75" spans="1:7">
      <c r="A318" s="257" t="s">
        <v>220</v>
      </c>
      <c r="B318" s="74"/>
      <c r="C318" s="79">
        <f t="shared" si="5"/>
        <v>0</v>
      </c>
      <c r="D318" s="80">
        <f t="shared" si="6"/>
        <v>0</v>
      </c>
      <c r="E318" s="80"/>
      <c r="F318" s="81"/>
      <c r="G318" s="81"/>
    </row>
    <row r="319" ht="15.75" spans="1:7">
      <c r="A319" s="257" t="s">
        <v>221</v>
      </c>
      <c r="B319" s="74"/>
      <c r="C319" s="79">
        <f t="shared" si="5"/>
        <v>0</v>
      </c>
      <c r="D319" s="80">
        <f t="shared" si="6"/>
        <v>0</v>
      </c>
      <c r="E319" s="80"/>
      <c r="F319" s="81"/>
      <c r="G319" s="81"/>
    </row>
    <row r="320" ht="15.75" spans="1:7">
      <c r="A320" s="257" t="s">
        <v>221</v>
      </c>
      <c r="B320" s="257"/>
      <c r="C320" s="79">
        <f t="shared" si="5"/>
        <v>0</v>
      </c>
      <c r="D320" s="260"/>
      <c r="E320" s="72"/>
      <c r="F320" s="73"/>
      <c r="G320" s="84"/>
    </row>
    <row r="321" ht="15.75" spans="1:7">
      <c r="A321" s="257"/>
      <c r="B321" s="257"/>
      <c r="D321" s="116"/>
      <c r="E321" s="261"/>
      <c r="F321" s="262"/>
      <c r="G321" s="262"/>
    </row>
    <row r="322" ht="48.75" spans="1:7">
      <c r="A322" s="256" t="s">
        <v>233</v>
      </c>
      <c r="B322" s="257"/>
      <c r="D322" s="116"/>
      <c r="E322" s="263"/>
      <c r="F322" s="264"/>
      <c r="G322" s="265"/>
    </row>
    <row r="323" ht="48.75" spans="1:7">
      <c r="A323" s="256" t="s">
        <v>224</v>
      </c>
      <c r="B323" s="116"/>
      <c r="D323" s="72"/>
      <c r="E323" s="72"/>
      <c r="F323" s="73"/>
      <c r="G323" s="73"/>
    </row>
    <row r="324" ht="84.75" spans="1:7">
      <c r="A324" s="266" t="s">
        <v>225</v>
      </c>
      <c r="B324" s="78"/>
      <c r="D324" s="72"/>
      <c r="E324" s="72"/>
      <c r="F324" s="73"/>
      <c r="G324" s="73"/>
    </row>
    <row r="327" spans="1:2">
      <c r="A327" s="531" t="s">
        <v>226</v>
      </c>
      <c r="B327" s="95" t="e">
        <f>AVERAGE(B275:B314)</f>
        <v>#DIV/0!</v>
      </c>
    </row>
    <row r="328" spans="1:2">
      <c r="A328" s="531" t="s">
        <v>227</v>
      </c>
      <c r="B328" s="96" t="e">
        <f>AVERAGE(B280:B309)</f>
        <v>#DIV/0!</v>
      </c>
    </row>
    <row r="329" spans="1:2">
      <c r="A329" s="531" t="s">
        <v>228</v>
      </c>
      <c r="B329" s="96" t="e">
        <f>AVERAGE(B286:B304)</f>
        <v>#DIV/0!</v>
      </c>
    </row>
    <row r="332" ht="15.75"/>
    <row r="333" customHeight="1" spans="1:7">
      <c r="A333" s="252" t="s">
        <v>165</v>
      </c>
      <c r="B333" s="268" t="s">
        <v>37</v>
      </c>
      <c r="C333" s="269"/>
      <c r="D333" s="270"/>
      <c r="E333" s="70">
        <f>(1-E388)^(1/3)-1</f>
        <v>0</v>
      </c>
      <c r="F333" s="70">
        <f>(1-F388)^(1/3)-1</f>
        <v>0</v>
      </c>
      <c r="G333" s="70"/>
    </row>
    <row r="334" ht="72.75" spans="1:7">
      <c r="A334" s="253"/>
      <c r="B334" s="254" t="s">
        <v>167</v>
      </c>
      <c r="D334" s="83" t="s">
        <v>168</v>
      </c>
      <c r="E334" s="83" t="s">
        <v>169</v>
      </c>
      <c r="F334" s="84" t="s">
        <v>169</v>
      </c>
      <c r="G334" s="84"/>
    </row>
    <row r="335" ht="24.75" spans="1:7">
      <c r="A335" s="254"/>
      <c r="B335" s="257" t="s">
        <v>365</v>
      </c>
      <c r="D335" s="271" t="s">
        <v>171</v>
      </c>
      <c r="E335" s="271" t="s">
        <v>171</v>
      </c>
      <c r="F335" s="271" t="s">
        <v>171</v>
      </c>
      <c r="G335" s="271"/>
    </row>
    <row r="336" ht="15.75" spans="1:7">
      <c r="A336" s="75">
        <v>1</v>
      </c>
      <c r="B336" s="76">
        <v>2</v>
      </c>
      <c r="C336" s="131"/>
      <c r="D336" s="76">
        <v>3</v>
      </c>
      <c r="E336" s="76">
        <v>4</v>
      </c>
      <c r="F336" s="77">
        <v>5</v>
      </c>
      <c r="G336" s="77"/>
    </row>
    <row r="337" ht="15.75" spans="1:7">
      <c r="A337" s="533" t="s">
        <v>172</v>
      </c>
      <c r="B337" s="272"/>
      <c r="C337">
        <v>0</v>
      </c>
      <c r="D337" s="80">
        <f t="shared" ref="D337:D368" si="7">IF(B337=0,0,IF(B337&lt;=E$391,0,B337-E$391)/B337)</f>
        <v>0</v>
      </c>
      <c r="E337" s="80"/>
      <c r="F337" s="81"/>
      <c r="G337" s="81"/>
    </row>
    <row r="338" ht="15.75" spans="1:7">
      <c r="A338" s="533" t="s">
        <v>173</v>
      </c>
      <c r="B338" s="74"/>
      <c r="C338" s="79">
        <f>B337</f>
        <v>0</v>
      </c>
      <c r="D338" s="80">
        <f t="shared" si="7"/>
        <v>0</v>
      </c>
      <c r="E338" s="80"/>
      <c r="F338" s="81"/>
      <c r="G338" s="81"/>
    </row>
    <row r="339" ht="15.75" spans="1:7">
      <c r="A339" s="533" t="s">
        <v>174</v>
      </c>
      <c r="B339" s="74"/>
      <c r="C339" s="79">
        <f t="shared" ref="C339:C387" si="8">B338</f>
        <v>0</v>
      </c>
      <c r="D339" s="80">
        <f t="shared" si="7"/>
        <v>0</v>
      </c>
      <c r="E339" s="80"/>
      <c r="F339" s="81"/>
      <c r="G339" s="81"/>
    </row>
    <row r="340" ht="15.75" spans="1:7">
      <c r="A340" s="533" t="s">
        <v>175</v>
      </c>
      <c r="B340" s="74"/>
      <c r="C340" s="79">
        <f t="shared" si="8"/>
        <v>0</v>
      </c>
      <c r="D340" s="80">
        <f t="shared" si="7"/>
        <v>0</v>
      </c>
      <c r="E340" s="80"/>
      <c r="F340" s="81"/>
      <c r="G340" s="81"/>
    </row>
    <row r="341" ht="15.75" spans="1:7">
      <c r="A341" s="533" t="s">
        <v>176</v>
      </c>
      <c r="B341" s="74"/>
      <c r="C341" s="79">
        <f t="shared" si="8"/>
        <v>0</v>
      </c>
      <c r="D341" s="80">
        <f t="shared" si="7"/>
        <v>0</v>
      </c>
      <c r="E341" s="80"/>
      <c r="F341" s="81"/>
      <c r="G341" s="81"/>
    </row>
    <row r="342" ht="15.75" spans="1:7">
      <c r="A342" s="533" t="s">
        <v>177</v>
      </c>
      <c r="B342" s="74"/>
      <c r="C342" s="79">
        <f t="shared" si="8"/>
        <v>0</v>
      </c>
      <c r="D342" s="80">
        <f t="shared" si="7"/>
        <v>0</v>
      </c>
      <c r="E342" s="80"/>
      <c r="F342" s="81"/>
      <c r="G342" s="81"/>
    </row>
    <row r="343" ht="15.75" spans="1:7">
      <c r="A343" s="533" t="s">
        <v>178</v>
      </c>
      <c r="B343" s="74"/>
      <c r="C343" s="79">
        <f t="shared" si="8"/>
        <v>0</v>
      </c>
      <c r="D343" s="80">
        <f t="shared" si="7"/>
        <v>0</v>
      </c>
      <c r="E343" s="80"/>
      <c r="F343" s="81"/>
      <c r="G343" s="81"/>
    </row>
    <row r="344" ht="15.75" spans="1:7">
      <c r="A344" s="257" t="s">
        <v>179</v>
      </c>
      <c r="B344" s="74"/>
      <c r="C344" s="79">
        <f t="shared" si="8"/>
        <v>0</v>
      </c>
      <c r="D344" s="80">
        <f t="shared" si="7"/>
        <v>0</v>
      </c>
      <c r="E344" s="80"/>
      <c r="F344" s="81"/>
      <c r="G344" s="81"/>
    </row>
    <row r="345" ht="15.75" spans="1:7">
      <c r="A345" s="257" t="s">
        <v>180</v>
      </c>
      <c r="B345" s="74"/>
      <c r="C345" s="79">
        <f t="shared" si="8"/>
        <v>0</v>
      </c>
      <c r="D345" s="80">
        <f t="shared" si="7"/>
        <v>0</v>
      </c>
      <c r="E345" s="80"/>
      <c r="F345" s="81"/>
      <c r="G345" s="81"/>
    </row>
    <row r="346" ht="15.75" spans="1:7">
      <c r="A346" s="257" t="s">
        <v>181</v>
      </c>
      <c r="B346" s="74"/>
      <c r="C346" s="79">
        <f t="shared" si="8"/>
        <v>0</v>
      </c>
      <c r="D346" s="80">
        <f t="shared" si="7"/>
        <v>0</v>
      </c>
      <c r="E346" s="80"/>
      <c r="F346" s="81"/>
      <c r="G346" s="81"/>
    </row>
    <row r="347" ht="15.75" spans="1:7">
      <c r="A347" s="257" t="s">
        <v>182</v>
      </c>
      <c r="B347" s="74"/>
      <c r="C347" s="79">
        <f t="shared" si="8"/>
        <v>0</v>
      </c>
      <c r="D347" s="80">
        <f t="shared" si="7"/>
        <v>0</v>
      </c>
      <c r="E347" s="80"/>
      <c r="F347" s="81"/>
      <c r="G347" s="81"/>
    </row>
    <row r="348" ht="15.75" spans="1:7">
      <c r="A348" s="257" t="s">
        <v>183</v>
      </c>
      <c r="B348" s="74"/>
      <c r="C348" s="79">
        <f t="shared" si="8"/>
        <v>0</v>
      </c>
      <c r="D348" s="80">
        <f t="shared" si="7"/>
        <v>0</v>
      </c>
      <c r="E348" s="80"/>
      <c r="F348" s="81"/>
      <c r="G348" s="81"/>
    </row>
    <row r="349" ht="15.75" spans="1:7">
      <c r="A349" s="257" t="s">
        <v>184</v>
      </c>
      <c r="B349" s="74"/>
      <c r="C349" s="79">
        <f t="shared" si="8"/>
        <v>0</v>
      </c>
      <c r="D349" s="80">
        <f t="shared" si="7"/>
        <v>0</v>
      </c>
      <c r="E349" s="80"/>
      <c r="F349" s="81"/>
      <c r="G349" s="81"/>
    </row>
    <row r="350" ht="15.75" spans="1:7">
      <c r="A350" s="257" t="s">
        <v>185</v>
      </c>
      <c r="B350" s="74"/>
      <c r="C350" s="79">
        <f t="shared" si="8"/>
        <v>0</v>
      </c>
      <c r="D350" s="80">
        <f t="shared" si="7"/>
        <v>0</v>
      </c>
      <c r="E350" s="80"/>
      <c r="F350" s="81"/>
      <c r="G350" s="81"/>
    </row>
    <row r="351" ht="15.75" spans="1:7">
      <c r="A351" s="257" t="s">
        <v>186</v>
      </c>
      <c r="B351" s="74"/>
      <c r="C351" s="79">
        <f t="shared" si="8"/>
        <v>0</v>
      </c>
      <c r="D351" s="80">
        <f t="shared" si="7"/>
        <v>0</v>
      </c>
      <c r="E351" s="80"/>
      <c r="F351" s="81"/>
      <c r="G351" s="81"/>
    </row>
    <row r="352" ht="15.75" spans="1:7">
      <c r="A352" s="257" t="s">
        <v>187</v>
      </c>
      <c r="B352" s="74"/>
      <c r="C352" s="79">
        <f t="shared" si="8"/>
        <v>0</v>
      </c>
      <c r="D352" s="80">
        <f t="shared" si="7"/>
        <v>0</v>
      </c>
      <c r="E352" s="80"/>
      <c r="F352" s="81"/>
      <c r="G352" s="81"/>
    </row>
    <row r="353" ht="15.75" spans="1:7">
      <c r="A353" s="257" t="s">
        <v>188</v>
      </c>
      <c r="B353" s="74"/>
      <c r="C353" s="79">
        <f t="shared" si="8"/>
        <v>0</v>
      </c>
      <c r="D353" s="80">
        <f t="shared" si="7"/>
        <v>0</v>
      </c>
      <c r="E353" s="80"/>
      <c r="F353" s="81"/>
      <c r="G353" s="81"/>
    </row>
    <row r="354" ht="15.75" spans="1:7">
      <c r="A354" s="257" t="s">
        <v>189</v>
      </c>
      <c r="B354" s="74"/>
      <c r="C354" s="79">
        <f t="shared" si="8"/>
        <v>0</v>
      </c>
      <c r="D354" s="80">
        <f t="shared" si="7"/>
        <v>0</v>
      </c>
      <c r="E354" s="80"/>
      <c r="F354" s="81"/>
      <c r="G354" s="81"/>
    </row>
    <row r="355" ht="15.75" spans="1:7">
      <c r="A355" s="257" t="s">
        <v>190</v>
      </c>
      <c r="B355" s="74"/>
      <c r="C355" s="79">
        <f t="shared" si="8"/>
        <v>0</v>
      </c>
      <c r="D355" s="80">
        <f t="shared" si="7"/>
        <v>0</v>
      </c>
      <c r="E355" s="80"/>
      <c r="F355" s="81"/>
      <c r="G355" s="81"/>
    </row>
    <row r="356" ht="15.75" spans="1:7">
      <c r="A356" s="257" t="s">
        <v>191</v>
      </c>
      <c r="B356" s="74"/>
      <c r="C356" s="79">
        <f t="shared" si="8"/>
        <v>0</v>
      </c>
      <c r="D356" s="80">
        <f t="shared" si="7"/>
        <v>0</v>
      </c>
      <c r="E356" s="80"/>
      <c r="F356" s="81"/>
      <c r="G356" s="81"/>
    </row>
    <row r="357" ht="15.75" spans="1:7">
      <c r="A357" s="257" t="s">
        <v>192</v>
      </c>
      <c r="B357" s="74"/>
      <c r="C357" s="79">
        <f t="shared" si="8"/>
        <v>0</v>
      </c>
      <c r="D357" s="80">
        <f t="shared" si="7"/>
        <v>0</v>
      </c>
      <c r="E357" s="80"/>
      <c r="F357" s="81"/>
      <c r="G357" s="81"/>
    </row>
    <row r="358" ht="15.75" spans="1:7">
      <c r="A358" s="257" t="s">
        <v>193</v>
      </c>
      <c r="B358" s="74"/>
      <c r="C358" s="79">
        <f t="shared" si="8"/>
        <v>0</v>
      </c>
      <c r="D358" s="80">
        <f t="shared" si="7"/>
        <v>0</v>
      </c>
      <c r="E358" s="80"/>
      <c r="F358" s="81"/>
      <c r="G358" s="81"/>
    </row>
    <row r="359" ht="15.75" spans="1:7">
      <c r="A359" s="257" t="s">
        <v>194</v>
      </c>
      <c r="B359" s="74"/>
      <c r="C359" s="79">
        <f t="shared" si="8"/>
        <v>0</v>
      </c>
      <c r="D359" s="80">
        <f t="shared" si="7"/>
        <v>0</v>
      </c>
      <c r="E359" s="80"/>
      <c r="F359" s="81"/>
      <c r="G359" s="81"/>
    </row>
    <row r="360" ht="15.75" spans="1:7">
      <c r="A360" s="257" t="s">
        <v>195</v>
      </c>
      <c r="B360" s="74"/>
      <c r="C360" s="79">
        <f t="shared" si="8"/>
        <v>0</v>
      </c>
      <c r="D360" s="80">
        <f t="shared" si="7"/>
        <v>0</v>
      </c>
      <c r="E360" s="80"/>
      <c r="F360" s="81"/>
      <c r="G360" s="81"/>
    </row>
    <row r="361" ht="15.75" spans="1:7">
      <c r="A361" s="257" t="s">
        <v>196</v>
      </c>
      <c r="B361" s="74"/>
      <c r="C361" s="79">
        <f t="shared" si="8"/>
        <v>0</v>
      </c>
      <c r="D361" s="80">
        <f t="shared" si="7"/>
        <v>0</v>
      </c>
      <c r="E361" s="80"/>
      <c r="F361" s="81"/>
      <c r="G361" s="81"/>
    </row>
    <row r="362" ht="15.75" spans="1:7">
      <c r="A362" s="257" t="s">
        <v>197</v>
      </c>
      <c r="B362" s="74"/>
      <c r="C362" s="79">
        <f t="shared" si="8"/>
        <v>0</v>
      </c>
      <c r="D362" s="80">
        <f t="shared" si="7"/>
        <v>0</v>
      </c>
      <c r="E362" s="80"/>
      <c r="F362" s="81"/>
      <c r="G362" s="81"/>
    </row>
    <row r="363" ht="15.75" spans="1:7">
      <c r="A363" s="257" t="s">
        <v>198</v>
      </c>
      <c r="B363" s="74"/>
      <c r="C363" s="79">
        <f t="shared" si="8"/>
        <v>0</v>
      </c>
      <c r="D363" s="80">
        <f t="shared" si="7"/>
        <v>0</v>
      </c>
      <c r="E363" s="80"/>
      <c r="F363" s="81"/>
      <c r="G363" s="81"/>
    </row>
    <row r="364" ht="15.75" spans="1:7">
      <c r="A364" s="257" t="s">
        <v>199</v>
      </c>
      <c r="B364" s="74"/>
      <c r="C364" s="79">
        <f t="shared" si="8"/>
        <v>0</v>
      </c>
      <c r="D364" s="80">
        <f t="shared" si="7"/>
        <v>0</v>
      </c>
      <c r="E364" s="80"/>
      <c r="F364" s="81"/>
      <c r="G364" s="81"/>
    </row>
    <row r="365" ht="15.75" spans="1:7">
      <c r="A365" s="257" t="s">
        <v>200</v>
      </c>
      <c r="B365" s="74"/>
      <c r="C365" s="79">
        <f t="shared" si="8"/>
        <v>0</v>
      </c>
      <c r="D365" s="80">
        <f t="shared" si="7"/>
        <v>0</v>
      </c>
      <c r="E365" s="80"/>
      <c r="F365" s="81"/>
      <c r="G365" s="81"/>
    </row>
    <row r="366" ht="15.75" spans="1:7">
      <c r="A366" s="257" t="s">
        <v>201</v>
      </c>
      <c r="B366" s="74"/>
      <c r="C366" s="79">
        <f t="shared" si="8"/>
        <v>0</v>
      </c>
      <c r="D366" s="80">
        <f t="shared" si="7"/>
        <v>0</v>
      </c>
      <c r="E366" s="80"/>
      <c r="F366" s="81"/>
      <c r="G366" s="81"/>
    </row>
    <row r="367" ht="15.75" spans="1:7">
      <c r="A367" s="257" t="s">
        <v>202</v>
      </c>
      <c r="B367" s="74"/>
      <c r="C367" s="79">
        <f t="shared" si="8"/>
        <v>0</v>
      </c>
      <c r="D367" s="80">
        <f t="shared" si="7"/>
        <v>0</v>
      </c>
      <c r="E367" s="80"/>
      <c r="F367" s="81"/>
      <c r="G367" s="81"/>
    </row>
    <row r="368" ht="15.75" spans="1:7">
      <c r="A368" s="257" t="s">
        <v>203</v>
      </c>
      <c r="B368" s="74"/>
      <c r="C368" s="79">
        <f t="shared" si="8"/>
        <v>0</v>
      </c>
      <c r="D368" s="80">
        <f t="shared" si="7"/>
        <v>0</v>
      </c>
      <c r="E368" s="80"/>
      <c r="F368" s="81"/>
      <c r="G368" s="81"/>
    </row>
    <row r="369" ht="15.75" spans="1:7">
      <c r="A369" s="257" t="s">
        <v>204</v>
      </c>
      <c r="B369" s="74"/>
      <c r="C369" s="79">
        <f t="shared" si="8"/>
        <v>0</v>
      </c>
      <c r="D369" s="80">
        <f t="shared" ref="D369:D386" si="9">IF(B369=0,0,IF(B369&lt;=E$391,0,B369-E$391)/B369)</f>
        <v>0</v>
      </c>
      <c r="E369" s="80"/>
      <c r="F369" s="81"/>
      <c r="G369" s="81"/>
    </row>
    <row r="370" ht="15.75" spans="1:7">
      <c r="A370" s="257" t="s">
        <v>205</v>
      </c>
      <c r="B370" s="74"/>
      <c r="C370" s="79">
        <f t="shared" si="8"/>
        <v>0</v>
      </c>
      <c r="D370" s="80">
        <f t="shared" si="9"/>
        <v>0</v>
      </c>
      <c r="E370" s="80"/>
      <c r="F370" s="81"/>
      <c r="G370" s="81"/>
    </row>
    <row r="371" ht="15.75" spans="1:7">
      <c r="A371" s="257" t="s">
        <v>206</v>
      </c>
      <c r="B371" s="74"/>
      <c r="C371" s="79">
        <f t="shared" si="8"/>
        <v>0</v>
      </c>
      <c r="D371" s="80">
        <f t="shared" si="9"/>
        <v>0</v>
      </c>
      <c r="E371" s="80"/>
      <c r="F371" s="81"/>
      <c r="G371" s="81"/>
    </row>
    <row r="372" ht="15.75" spans="1:7">
      <c r="A372" s="257" t="s">
        <v>207</v>
      </c>
      <c r="B372" s="74"/>
      <c r="C372" s="79">
        <f t="shared" si="8"/>
        <v>0</v>
      </c>
      <c r="D372" s="80">
        <f t="shared" si="9"/>
        <v>0</v>
      </c>
      <c r="E372" s="80"/>
      <c r="F372" s="81"/>
      <c r="G372" s="81"/>
    </row>
    <row r="373" ht="15.75" spans="1:7">
      <c r="A373" s="257" t="s">
        <v>208</v>
      </c>
      <c r="B373" s="74"/>
      <c r="C373" s="79">
        <f t="shared" si="8"/>
        <v>0</v>
      </c>
      <c r="D373" s="80">
        <f t="shared" si="9"/>
        <v>0</v>
      </c>
      <c r="E373" s="80"/>
      <c r="F373" s="81"/>
      <c r="G373" s="81"/>
    </row>
    <row r="374" ht="15.75" spans="1:7">
      <c r="A374" s="257" t="s">
        <v>209</v>
      </c>
      <c r="B374" s="74"/>
      <c r="C374" s="79">
        <f t="shared" si="8"/>
        <v>0</v>
      </c>
      <c r="D374" s="80">
        <f t="shared" si="9"/>
        <v>0</v>
      </c>
      <c r="E374" s="80"/>
      <c r="F374" s="81"/>
      <c r="G374" s="81"/>
    </row>
    <row r="375" ht="15.75" spans="1:7">
      <c r="A375" s="257" t="s">
        <v>210</v>
      </c>
      <c r="B375" s="74"/>
      <c r="C375" s="79">
        <f t="shared" si="8"/>
        <v>0</v>
      </c>
      <c r="D375" s="80">
        <f t="shared" si="9"/>
        <v>0</v>
      </c>
      <c r="E375" s="80"/>
      <c r="F375" s="81"/>
      <c r="G375" s="81"/>
    </row>
    <row r="376" ht="15.75" spans="1:7">
      <c r="A376" s="257" t="s">
        <v>211</v>
      </c>
      <c r="B376" s="74"/>
      <c r="C376" s="79">
        <f t="shared" si="8"/>
        <v>0</v>
      </c>
      <c r="D376" s="80">
        <f t="shared" si="9"/>
        <v>0</v>
      </c>
      <c r="E376" s="80"/>
      <c r="F376" s="81"/>
      <c r="G376" s="81"/>
    </row>
    <row r="377" ht="15.75" spans="1:7">
      <c r="A377" s="257" t="s">
        <v>212</v>
      </c>
      <c r="B377" s="74"/>
      <c r="C377" s="79">
        <f t="shared" si="8"/>
        <v>0</v>
      </c>
      <c r="D377" s="80">
        <f t="shared" si="9"/>
        <v>0</v>
      </c>
      <c r="E377" s="80"/>
      <c r="F377" s="81"/>
      <c r="G377" s="81"/>
    </row>
    <row r="378" ht="15.75" spans="1:7">
      <c r="A378" s="257" t="s">
        <v>213</v>
      </c>
      <c r="B378" s="74"/>
      <c r="C378" s="79">
        <f t="shared" si="8"/>
        <v>0</v>
      </c>
      <c r="D378" s="80">
        <f t="shared" si="9"/>
        <v>0</v>
      </c>
      <c r="E378" s="80"/>
      <c r="F378" s="81"/>
      <c r="G378" s="81"/>
    </row>
    <row r="379" ht="15.75" spans="1:7">
      <c r="A379" s="257" t="s">
        <v>214</v>
      </c>
      <c r="B379" s="74"/>
      <c r="C379" s="79">
        <f t="shared" si="8"/>
        <v>0</v>
      </c>
      <c r="D379" s="80">
        <f t="shared" si="9"/>
        <v>0</v>
      </c>
      <c r="E379" s="80"/>
      <c r="F379" s="81"/>
      <c r="G379" s="81"/>
    </row>
    <row r="380" ht="15.75" spans="1:7">
      <c r="A380" s="257" t="s">
        <v>215</v>
      </c>
      <c r="B380" s="74"/>
      <c r="C380" s="79">
        <f t="shared" si="8"/>
        <v>0</v>
      </c>
      <c r="D380" s="80">
        <f t="shared" si="9"/>
        <v>0</v>
      </c>
      <c r="E380" s="80"/>
      <c r="F380" s="81"/>
      <c r="G380" s="81"/>
    </row>
    <row r="381" ht="15.75" spans="1:7">
      <c r="A381" s="257" t="s">
        <v>216</v>
      </c>
      <c r="B381" s="74"/>
      <c r="C381" s="79">
        <f t="shared" si="8"/>
        <v>0</v>
      </c>
      <c r="D381" s="80">
        <f t="shared" si="9"/>
        <v>0</v>
      </c>
      <c r="E381" s="80"/>
      <c r="F381" s="81"/>
      <c r="G381" s="81"/>
    </row>
    <row r="382" ht="15.75" spans="1:7">
      <c r="A382" s="257" t="s">
        <v>217</v>
      </c>
      <c r="B382" s="74"/>
      <c r="C382" s="79">
        <f t="shared" si="8"/>
        <v>0</v>
      </c>
      <c r="D382" s="80">
        <f t="shared" si="9"/>
        <v>0</v>
      </c>
      <c r="E382" s="80"/>
      <c r="F382" s="81"/>
      <c r="G382" s="81"/>
    </row>
    <row r="383" ht="15.75" spans="1:7">
      <c r="A383" s="257" t="s">
        <v>218</v>
      </c>
      <c r="B383" s="74"/>
      <c r="C383" s="79">
        <f t="shared" si="8"/>
        <v>0</v>
      </c>
      <c r="D383" s="80">
        <f t="shared" si="9"/>
        <v>0</v>
      </c>
      <c r="E383" s="80"/>
      <c r="F383" s="81"/>
      <c r="G383" s="81"/>
    </row>
    <row r="384" ht="15.75" spans="1:7">
      <c r="A384" s="257" t="s">
        <v>219</v>
      </c>
      <c r="B384" s="74"/>
      <c r="C384" s="79">
        <f t="shared" si="8"/>
        <v>0</v>
      </c>
      <c r="D384" s="80">
        <f t="shared" si="9"/>
        <v>0</v>
      </c>
      <c r="E384" s="80"/>
      <c r="F384" s="81"/>
      <c r="G384" s="81"/>
    </row>
    <row r="385" ht="15.75" spans="1:7">
      <c r="A385" s="257" t="s">
        <v>220</v>
      </c>
      <c r="B385" s="74"/>
      <c r="C385" s="79">
        <f t="shared" si="8"/>
        <v>0</v>
      </c>
      <c r="D385" s="80">
        <f t="shared" si="9"/>
        <v>0</v>
      </c>
      <c r="E385" s="80"/>
      <c r="F385" s="81"/>
      <c r="G385" s="81"/>
    </row>
    <row r="386" ht="15.75" spans="1:7">
      <c r="A386" s="257" t="s">
        <v>221</v>
      </c>
      <c r="B386" s="259"/>
      <c r="C386" s="79">
        <f t="shared" si="8"/>
        <v>0</v>
      </c>
      <c r="D386" s="80">
        <f t="shared" si="9"/>
        <v>0</v>
      </c>
      <c r="E386" s="80"/>
      <c r="F386" s="81"/>
      <c r="G386" s="81"/>
    </row>
    <row r="387" ht="15.75" spans="1:7">
      <c r="A387" s="257" t="s">
        <v>221</v>
      </c>
      <c r="B387" s="257"/>
      <c r="C387" s="79">
        <f t="shared" si="8"/>
        <v>0</v>
      </c>
      <c r="D387" s="260" t="s">
        <v>124</v>
      </c>
      <c r="E387" s="72"/>
      <c r="F387" s="73"/>
      <c r="G387" s="84"/>
    </row>
    <row r="388" ht="15.75" spans="1:7">
      <c r="A388" s="257"/>
      <c r="B388" s="257"/>
      <c r="D388" s="116" t="s">
        <v>124</v>
      </c>
      <c r="E388" s="261"/>
      <c r="F388" s="262"/>
      <c r="G388" s="262"/>
    </row>
    <row r="389" ht="48.75" spans="1:7">
      <c r="A389" s="256" t="s">
        <v>233</v>
      </c>
      <c r="B389" s="257"/>
      <c r="D389" s="116" t="s">
        <v>124</v>
      </c>
      <c r="E389" s="263"/>
      <c r="F389" s="264"/>
      <c r="G389" s="265"/>
    </row>
    <row r="390" ht="48.75" spans="1:7">
      <c r="A390" s="256" t="s">
        <v>224</v>
      </c>
      <c r="B390" s="116"/>
      <c r="D390" s="72"/>
      <c r="E390" s="72"/>
      <c r="F390" s="73"/>
      <c r="G390" s="73"/>
    </row>
    <row r="391" ht="84.75" spans="1:7">
      <c r="A391" s="266" t="s">
        <v>225</v>
      </c>
      <c r="B391" s="78"/>
      <c r="D391" s="72"/>
      <c r="E391" s="72">
        <f>0.6*E389</f>
        <v>0</v>
      </c>
      <c r="F391" s="73">
        <f>0.6*F389</f>
        <v>0</v>
      </c>
      <c r="G391" s="73"/>
    </row>
    <row r="394" spans="1:2">
      <c r="A394" s="531" t="s">
        <v>226</v>
      </c>
      <c r="B394" s="95" t="e">
        <f>AVERAGE(B342:B381)</f>
        <v>#DIV/0!</v>
      </c>
    </row>
    <row r="395" spans="1:2">
      <c r="A395" s="531" t="s">
        <v>227</v>
      </c>
      <c r="B395" s="96" t="e">
        <f>AVERAGE(B347:B376)</f>
        <v>#DIV/0!</v>
      </c>
    </row>
    <row r="396" spans="1:2">
      <c r="A396" s="531" t="s">
        <v>228</v>
      </c>
      <c r="B396" s="96" t="e">
        <f>AVERAGE(B353:B371)</f>
        <v>#DIV/0!</v>
      </c>
    </row>
    <row r="400" ht="15.75"/>
    <row r="401" ht="15.75" spans="1:7">
      <c r="A401" s="252" t="s">
        <v>165</v>
      </c>
      <c r="B401" s="273" t="s">
        <v>366</v>
      </c>
      <c r="C401" s="274"/>
      <c r="D401" s="275"/>
      <c r="E401" s="70">
        <f>(1-E456)^(1/3)-1</f>
        <v>0</v>
      </c>
      <c r="F401" s="70">
        <f>(1-F456)^(1/3)-1</f>
        <v>0</v>
      </c>
      <c r="G401" s="70"/>
    </row>
    <row r="402" ht="72.75" spans="1:7">
      <c r="A402" s="253"/>
      <c r="B402" s="254" t="s">
        <v>167</v>
      </c>
      <c r="C402">
        <v>0</v>
      </c>
      <c r="D402" s="72" t="s">
        <v>169</v>
      </c>
      <c r="E402" s="72" t="s">
        <v>169</v>
      </c>
      <c r="F402" s="73" t="s">
        <v>169</v>
      </c>
      <c r="G402" s="73"/>
    </row>
    <row r="403" ht="60.75" spans="1:6">
      <c r="A403" s="254"/>
      <c r="B403" s="116" t="s">
        <v>367</v>
      </c>
      <c r="C403" s="79" t="str">
        <f>B402</f>
        <v>Фактическое удельное годовое потребление</v>
      </c>
      <c r="D403" s="271" t="s">
        <v>171</v>
      </c>
      <c r="E403" s="536" t="s">
        <v>227</v>
      </c>
      <c r="F403" s="276"/>
    </row>
    <row r="404" ht="24.75" spans="1:7">
      <c r="A404" s="277">
        <v>1</v>
      </c>
      <c r="B404" s="277"/>
      <c r="C404" s="79" t="str">
        <f t="shared" ref="C404:C452" si="10">B403</f>
        <v>кгут / кв. м</v>
      </c>
      <c r="D404" s="116" t="s">
        <v>367</v>
      </c>
      <c r="E404" s="278">
        <v>5</v>
      </c>
      <c r="F404" s="279">
        <v>6</v>
      </c>
      <c r="G404" s="280"/>
    </row>
    <row r="405" ht="15.75" spans="1:7">
      <c r="A405" s="533" t="s">
        <v>172</v>
      </c>
      <c r="B405" s="257"/>
      <c r="C405" s="79">
        <f t="shared" si="10"/>
        <v>0</v>
      </c>
      <c r="D405" s="281"/>
      <c r="E405" s="80"/>
      <c r="F405" s="81"/>
      <c r="G405" s="81"/>
    </row>
    <row r="406" ht="15.75" spans="1:7">
      <c r="A406" s="533" t="s">
        <v>173</v>
      </c>
      <c r="B406" s="257"/>
      <c r="C406" s="79">
        <f t="shared" si="10"/>
        <v>0</v>
      </c>
      <c r="D406" s="116"/>
      <c r="E406" s="80"/>
      <c r="F406" s="81"/>
      <c r="G406" s="81"/>
    </row>
    <row r="407" ht="15.75" spans="1:7">
      <c r="A407" s="533" t="s">
        <v>174</v>
      </c>
      <c r="B407" s="257"/>
      <c r="C407" s="79">
        <f t="shared" si="10"/>
        <v>0</v>
      </c>
      <c r="D407" s="116"/>
      <c r="E407" s="80"/>
      <c r="F407" s="81"/>
      <c r="G407" s="81"/>
    </row>
    <row r="408" ht="15.75" spans="1:7">
      <c r="A408" s="533" t="s">
        <v>175</v>
      </c>
      <c r="B408" s="257"/>
      <c r="C408" s="79">
        <f t="shared" si="10"/>
        <v>0</v>
      </c>
      <c r="D408" s="116"/>
      <c r="E408" s="80"/>
      <c r="F408" s="81"/>
      <c r="G408" s="81"/>
    </row>
    <row r="409" ht="15.75" spans="1:7">
      <c r="A409" s="533" t="s">
        <v>176</v>
      </c>
      <c r="B409" s="257"/>
      <c r="C409" s="79">
        <f t="shared" si="10"/>
        <v>0</v>
      </c>
      <c r="D409" s="116"/>
      <c r="E409" s="80"/>
      <c r="F409" s="81"/>
      <c r="G409" s="81"/>
    </row>
    <row r="410" ht="15.75" spans="1:7">
      <c r="A410" s="533" t="s">
        <v>177</v>
      </c>
      <c r="B410" s="257"/>
      <c r="C410" s="79">
        <f t="shared" si="10"/>
        <v>0</v>
      </c>
      <c r="D410" s="116"/>
      <c r="E410" s="80"/>
      <c r="F410" s="81"/>
      <c r="G410" s="81"/>
    </row>
    <row r="411" ht="15.75" spans="1:7">
      <c r="A411" s="533" t="s">
        <v>178</v>
      </c>
      <c r="B411" s="257"/>
      <c r="C411" s="79">
        <f t="shared" si="10"/>
        <v>0</v>
      </c>
      <c r="D411" s="116"/>
      <c r="E411" s="80"/>
      <c r="F411" s="81"/>
      <c r="G411" s="81"/>
    </row>
    <row r="412" ht="15.75" spans="1:7">
      <c r="A412" s="257" t="s">
        <v>179</v>
      </c>
      <c r="B412" s="257"/>
      <c r="C412" s="79">
        <f t="shared" si="10"/>
        <v>0</v>
      </c>
      <c r="D412" s="116"/>
      <c r="E412" s="80"/>
      <c r="F412" s="81"/>
      <c r="G412" s="81"/>
    </row>
    <row r="413" ht="15.75" spans="1:7">
      <c r="A413" s="257" t="s">
        <v>180</v>
      </c>
      <c r="B413" s="257"/>
      <c r="C413" s="79">
        <f t="shared" si="10"/>
        <v>0</v>
      </c>
      <c r="D413" s="116"/>
      <c r="E413" s="80"/>
      <c r="F413" s="81"/>
      <c r="G413" s="81"/>
    </row>
    <row r="414" ht="15.75" spans="1:7">
      <c r="A414" s="257" t="s">
        <v>181</v>
      </c>
      <c r="B414" s="257"/>
      <c r="C414" s="79">
        <f t="shared" si="10"/>
        <v>0</v>
      </c>
      <c r="D414" s="116"/>
      <c r="E414" s="80"/>
      <c r="F414" s="81"/>
      <c r="G414" s="81"/>
    </row>
    <row r="415" ht="15.75" spans="1:7">
      <c r="A415" s="257" t="s">
        <v>182</v>
      </c>
      <c r="B415" s="257"/>
      <c r="C415" s="79">
        <f t="shared" si="10"/>
        <v>0</v>
      </c>
      <c r="D415" s="116"/>
      <c r="E415" s="80"/>
      <c r="F415" s="81"/>
      <c r="G415" s="81"/>
    </row>
    <row r="416" ht="15.75" spans="1:7">
      <c r="A416" s="257" t="s">
        <v>183</v>
      </c>
      <c r="B416" s="257"/>
      <c r="C416" s="79">
        <f t="shared" si="10"/>
        <v>0</v>
      </c>
      <c r="D416" s="116"/>
      <c r="E416" s="80"/>
      <c r="F416" s="81"/>
      <c r="G416" s="81"/>
    </row>
    <row r="417" ht="15.75" spans="1:7">
      <c r="A417" s="257" t="s">
        <v>184</v>
      </c>
      <c r="B417" s="257"/>
      <c r="C417" s="79">
        <f t="shared" si="10"/>
        <v>0</v>
      </c>
      <c r="D417" s="116"/>
      <c r="E417" s="80"/>
      <c r="F417" s="81"/>
      <c r="G417" s="81"/>
    </row>
    <row r="418" ht="15.75" spans="1:7">
      <c r="A418" s="257" t="s">
        <v>185</v>
      </c>
      <c r="B418" s="257"/>
      <c r="C418" s="79">
        <f t="shared" si="10"/>
        <v>0</v>
      </c>
      <c r="D418" s="116"/>
      <c r="E418" s="80"/>
      <c r="F418" s="81"/>
      <c r="G418" s="81"/>
    </row>
    <row r="419" ht="15.75" spans="1:7">
      <c r="A419" s="257" t="s">
        <v>186</v>
      </c>
      <c r="B419" s="257"/>
      <c r="C419" s="79">
        <f t="shared" si="10"/>
        <v>0</v>
      </c>
      <c r="D419" s="116"/>
      <c r="E419" s="80"/>
      <c r="F419" s="81"/>
      <c r="G419" s="81"/>
    </row>
    <row r="420" ht="15.75" spans="1:7">
      <c r="A420" s="257" t="s">
        <v>187</v>
      </c>
      <c r="B420" s="257"/>
      <c r="C420" s="79">
        <f t="shared" si="10"/>
        <v>0</v>
      </c>
      <c r="D420" s="116"/>
      <c r="E420" s="80"/>
      <c r="F420" s="81"/>
      <c r="G420" s="81"/>
    </row>
    <row r="421" ht="15.75" spans="1:7">
      <c r="A421" s="257" t="s">
        <v>188</v>
      </c>
      <c r="B421" s="257"/>
      <c r="C421" s="79">
        <f t="shared" si="10"/>
        <v>0</v>
      </c>
      <c r="D421" s="116"/>
      <c r="E421" s="80"/>
      <c r="F421" s="81"/>
      <c r="G421" s="81"/>
    </row>
    <row r="422" ht="15.75" spans="1:7">
      <c r="A422" s="257" t="s">
        <v>189</v>
      </c>
      <c r="B422" s="257"/>
      <c r="C422" s="79">
        <f t="shared" si="10"/>
        <v>0</v>
      </c>
      <c r="D422" s="116"/>
      <c r="E422" s="80"/>
      <c r="F422" s="81"/>
      <c r="G422" s="81"/>
    </row>
    <row r="423" ht="15.75" spans="1:7">
      <c r="A423" s="257" t="s">
        <v>190</v>
      </c>
      <c r="B423" s="257"/>
      <c r="C423" s="79">
        <f t="shared" si="10"/>
        <v>0</v>
      </c>
      <c r="D423" s="116"/>
      <c r="E423" s="80"/>
      <c r="F423" s="81"/>
      <c r="G423" s="81"/>
    </row>
    <row r="424" ht="15.75" spans="1:7">
      <c r="A424" s="257" t="s">
        <v>191</v>
      </c>
      <c r="B424" s="257"/>
      <c r="C424" s="79">
        <f t="shared" si="10"/>
        <v>0</v>
      </c>
      <c r="D424" s="116"/>
      <c r="E424" s="80"/>
      <c r="F424" s="81"/>
      <c r="G424" s="81"/>
    </row>
    <row r="425" ht="15.75" spans="1:7">
      <c r="A425" s="257" t="s">
        <v>192</v>
      </c>
      <c r="B425" s="257"/>
      <c r="C425" s="79">
        <f t="shared" si="10"/>
        <v>0</v>
      </c>
      <c r="D425" s="116"/>
      <c r="E425" s="80"/>
      <c r="F425" s="81"/>
      <c r="G425" s="81"/>
    </row>
    <row r="426" ht="15.75" spans="1:7">
      <c r="A426" s="257" t="s">
        <v>193</v>
      </c>
      <c r="B426" s="257"/>
      <c r="C426" s="79">
        <f t="shared" si="10"/>
        <v>0</v>
      </c>
      <c r="D426" s="116"/>
      <c r="E426" s="80"/>
      <c r="F426" s="81"/>
      <c r="G426" s="81"/>
    </row>
    <row r="427" ht="15.75" spans="1:7">
      <c r="A427" s="257" t="s">
        <v>194</v>
      </c>
      <c r="B427" s="257"/>
      <c r="C427" s="79">
        <f t="shared" si="10"/>
        <v>0</v>
      </c>
      <c r="D427" s="116"/>
      <c r="E427" s="80"/>
      <c r="F427" s="81"/>
      <c r="G427" s="81"/>
    </row>
    <row r="428" ht="15.75" spans="1:7">
      <c r="A428" s="257" t="s">
        <v>195</v>
      </c>
      <c r="B428" s="257"/>
      <c r="C428" s="79">
        <f t="shared" si="10"/>
        <v>0</v>
      </c>
      <c r="D428" s="116"/>
      <c r="E428" s="80"/>
      <c r="F428" s="81"/>
      <c r="G428" s="81"/>
    </row>
    <row r="429" ht="15.75" spans="1:7">
      <c r="A429" s="257" t="s">
        <v>196</v>
      </c>
      <c r="B429" s="257"/>
      <c r="C429" s="79">
        <f t="shared" si="10"/>
        <v>0</v>
      </c>
      <c r="D429" s="116"/>
      <c r="E429" s="80"/>
      <c r="F429" s="81"/>
      <c r="G429" s="81"/>
    </row>
    <row r="430" ht="15.75" spans="1:7">
      <c r="A430" s="257" t="s">
        <v>197</v>
      </c>
      <c r="B430" s="257"/>
      <c r="C430" s="79">
        <f t="shared" si="10"/>
        <v>0</v>
      </c>
      <c r="D430" s="116"/>
      <c r="E430" s="80"/>
      <c r="F430" s="81"/>
      <c r="G430" s="81"/>
    </row>
    <row r="431" ht="15.75" spans="1:7">
      <c r="A431" s="257" t="s">
        <v>198</v>
      </c>
      <c r="B431" s="257"/>
      <c r="C431" s="79">
        <f t="shared" si="10"/>
        <v>0</v>
      </c>
      <c r="D431" s="116"/>
      <c r="E431" s="80"/>
      <c r="F431" s="81"/>
      <c r="G431" s="81"/>
    </row>
    <row r="432" ht="15.75" spans="1:7">
      <c r="A432" s="257" t="s">
        <v>199</v>
      </c>
      <c r="B432" s="257"/>
      <c r="C432" s="79">
        <f t="shared" si="10"/>
        <v>0</v>
      </c>
      <c r="D432" s="116"/>
      <c r="E432" s="80"/>
      <c r="F432" s="81"/>
      <c r="G432" s="81"/>
    </row>
    <row r="433" ht="15.75" spans="1:7">
      <c r="A433" s="257" t="s">
        <v>200</v>
      </c>
      <c r="B433" s="257"/>
      <c r="C433" s="79">
        <f t="shared" si="10"/>
        <v>0</v>
      </c>
      <c r="D433" s="116"/>
      <c r="E433" s="80"/>
      <c r="F433" s="81"/>
      <c r="G433" s="81"/>
    </row>
    <row r="434" ht="15.75" spans="1:7">
      <c r="A434" s="257" t="s">
        <v>201</v>
      </c>
      <c r="B434" s="257"/>
      <c r="C434" s="79">
        <f t="shared" si="10"/>
        <v>0</v>
      </c>
      <c r="D434" s="116"/>
      <c r="E434" s="80"/>
      <c r="F434" s="81"/>
      <c r="G434" s="81"/>
    </row>
    <row r="435" ht="15.75" spans="1:7">
      <c r="A435" s="257" t="s">
        <v>202</v>
      </c>
      <c r="B435" s="257"/>
      <c r="C435" s="79">
        <f t="shared" si="10"/>
        <v>0</v>
      </c>
      <c r="D435" s="116"/>
      <c r="E435" s="80"/>
      <c r="F435" s="81"/>
      <c r="G435" s="81"/>
    </row>
    <row r="436" ht="15.75" spans="1:7">
      <c r="A436" s="257" t="s">
        <v>203</v>
      </c>
      <c r="B436" s="257"/>
      <c r="C436" s="79">
        <f t="shared" si="10"/>
        <v>0</v>
      </c>
      <c r="D436" s="116"/>
      <c r="E436" s="80"/>
      <c r="F436" s="81"/>
      <c r="G436" s="81"/>
    </row>
    <row r="437" ht="15.75" spans="1:7">
      <c r="A437" s="257" t="s">
        <v>204</v>
      </c>
      <c r="B437" s="257"/>
      <c r="C437" s="79">
        <f t="shared" si="10"/>
        <v>0</v>
      </c>
      <c r="D437" s="116"/>
      <c r="E437" s="80"/>
      <c r="F437" s="81"/>
      <c r="G437" s="81"/>
    </row>
    <row r="438" ht="15.75" spans="1:7">
      <c r="A438" s="257" t="s">
        <v>205</v>
      </c>
      <c r="B438" s="257"/>
      <c r="C438" s="79">
        <f t="shared" si="10"/>
        <v>0</v>
      </c>
      <c r="D438" s="116"/>
      <c r="E438" s="80"/>
      <c r="F438" s="81"/>
      <c r="G438" s="81"/>
    </row>
    <row r="439" ht="15.75" spans="1:7">
      <c r="A439" s="257" t="s">
        <v>206</v>
      </c>
      <c r="B439" s="257"/>
      <c r="C439" s="79">
        <f t="shared" si="10"/>
        <v>0</v>
      </c>
      <c r="D439" s="116"/>
      <c r="E439" s="80"/>
      <c r="F439" s="81"/>
      <c r="G439" s="81"/>
    </row>
    <row r="440" ht="15.75" spans="1:7">
      <c r="A440" s="257" t="s">
        <v>207</v>
      </c>
      <c r="B440" s="257"/>
      <c r="C440" s="79">
        <f t="shared" si="10"/>
        <v>0</v>
      </c>
      <c r="D440" s="116"/>
      <c r="E440" s="80"/>
      <c r="F440" s="81"/>
      <c r="G440" s="81"/>
    </row>
    <row r="441" ht="15.75" spans="1:7">
      <c r="A441" s="257" t="s">
        <v>208</v>
      </c>
      <c r="B441" s="257"/>
      <c r="C441" s="79">
        <f t="shared" si="10"/>
        <v>0</v>
      </c>
      <c r="D441" s="116"/>
      <c r="E441" s="80"/>
      <c r="F441" s="81"/>
      <c r="G441" s="81"/>
    </row>
    <row r="442" ht="15.75" spans="1:7">
      <c r="A442" s="257" t="s">
        <v>209</v>
      </c>
      <c r="B442" s="257"/>
      <c r="C442" s="79">
        <f t="shared" si="10"/>
        <v>0</v>
      </c>
      <c r="D442" s="116"/>
      <c r="E442" s="80"/>
      <c r="F442" s="81"/>
      <c r="G442" s="81"/>
    </row>
    <row r="443" ht="15.75" spans="1:7">
      <c r="A443" s="257" t="s">
        <v>210</v>
      </c>
      <c r="B443" s="257"/>
      <c r="C443" s="79">
        <f t="shared" si="10"/>
        <v>0</v>
      </c>
      <c r="D443" s="116"/>
      <c r="E443" s="80"/>
      <c r="F443" s="81"/>
      <c r="G443" s="81"/>
    </row>
    <row r="444" ht="15.75" spans="1:7">
      <c r="A444" s="257" t="s">
        <v>211</v>
      </c>
      <c r="B444" s="257"/>
      <c r="C444" s="79">
        <f t="shared" si="10"/>
        <v>0</v>
      </c>
      <c r="D444" s="116"/>
      <c r="E444" s="80"/>
      <c r="F444" s="81"/>
      <c r="G444" s="81"/>
    </row>
    <row r="445" ht="15.75" spans="1:7">
      <c r="A445" s="257" t="s">
        <v>212</v>
      </c>
      <c r="B445" s="257"/>
      <c r="C445" s="79">
        <f t="shared" si="10"/>
        <v>0</v>
      </c>
      <c r="D445" s="116"/>
      <c r="E445" s="80"/>
      <c r="F445" s="81"/>
      <c r="G445" s="81"/>
    </row>
    <row r="446" ht="15.75" spans="1:7">
      <c r="A446" s="257" t="s">
        <v>213</v>
      </c>
      <c r="B446" s="257"/>
      <c r="C446" s="79">
        <f t="shared" si="10"/>
        <v>0</v>
      </c>
      <c r="D446" s="116"/>
      <c r="E446" s="80"/>
      <c r="F446" s="81"/>
      <c r="G446" s="81"/>
    </row>
    <row r="447" ht="15.75" spans="1:7">
      <c r="A447" s="257" t="s">
        <v>214</v>
      </c>
      <c r="B447" s="257"/>
      <c r="C447" s="79">
        <f t="shared" si="10"/>
        <v>0</v>
      </c>
      <c r="D447" s="116"/>
      <c r="E447" s="80"/>
      <c r="F447" s="81"/>
      <c r="G447" s="81"/>
    </row>
    <row r="448" ht="15.75" spans="1:7">
      <c r="A448" s="257" t="s">
        <v>215</v>
      </c>
      <c r="B448" s="257"/>
      <c r="C448" s="79">
        <f t="shared" si="10"/>
        <v>0</v>
      </c>
      <c r="D448" s="116"/>
      <c r="E448" s="80"/>
      <c r="F448" s="81"/>
      <c r="G448" s="81"/>
    </row>
    <row r="449" ht="15.75" spans="1:7">
      <c r="A449" s="257" t="s">
        <v>216</v>
      </c>
      <c r="B449" s="257"/>
      <c r="C449" s="79">
        <f t="shared" si="10"/>
        <v>0</v>
      </c>
      <c r="D449" s="116"/>
      <c r="E449" s="80"/>
      <c r="F449" s="81"/>
      <c r="G449" s="81"/>
    </row>
    <row r="450" ht="15.75" spans="1:7">
      <c r="A450" s="257" t="s">
        <v>217</v>
      </c>
      <c r="B450" s="257"/>
      <c r="C450" s="79">
        <f t="shared" si="10"/>
        <v>0</v>
      </c>
      <c r="D450" s="116"/>
      <c r="E450" s="80"/>
      <c r="F450" s="81"/>
      <c r="G450" s="81"/>
    </row>
    <row r="451" ht="15.75" spans="1:7">
      <c r="A451" s="257" t="s">
        <v>218</v>
      </c>
      <c r="B451" s="257"/>
      <c r="C451" s="79">
        <f t="shared" si="10"/>
        <v>0</v>
      </c>
      <c r="D451" s="116"/>
      <c r="E451" s="80"/>
      <c r="F451" s="81"/>
      <c r="G451" s="81"/>
    </row>
    <row r="452" ht="15.75" spans="1:7">
      <c r="A452" s="257" t="s">
        <v>219</v>
      </c>
      <c r="B452" s="257"/>
      <c r="C452" s="79">
        <f t="shared" si="10"/>
        <v>0</v>
      </c>
      <c r="D452" s="116"/>
      <c r="E452" s="80"/>
      <c r="F452" s="81"/>
      <c r="G452" s="81"/>
    </row>
    <row r="453" ht="15.75" spans="1:7">
      <c r="A453" s="257" t="s">
        <v>220</v>
      </c>
      <c r="B453" s="257"/>
      <c r="D453" s="116"/>
      <c r="E453" s="80"/>
      <c r="F453" s="81"/>
      <c r="G453" s="81"/>
    </row>
    <row r="454" ht="15.75" spans="1:7">
      <c r="A454" s="257" t="s">
        <v>221</v>
      </c>
      <c r="B454" s="257"/>
      <c r="D454" s="116"/>
      <c r="E454" s="80"/>
      <c r="F454" s="81"/>
      <c r="G454" s="81"/>
    </row>
    <row r="455" ht="15.75" spans="1:7">
      <c r="A455" s="257" t="s">
        <v>221</v>
      </c>
      <c r="B455" s="257"/>
      <c r="D455" s="260"/>
      <c r="E455" s="72"/>
      <c r="F455" s="73"/>
      <c r="G455" s="84"/>
    </row>
    <row r="456" ht="15.75" spans="1:7">
      <c r="A456" s="257"/>
      <c r="B456" s="257"/>
      <c r="D456" s="116"/>
      <c r="E456" s="261"/>
      <c r="F456" s="262"/>
      <c r="G456" s="262"/>
    </row>
    <row r="457" ht="48.75" spans="1:7">
      <c r="A457" s="256" t="s">
        <v>233</v>
      </c>
      <c r="B457" s="257"/>
      <c r="D457" s="116"/>
      <c r="E457" s="263"/>
      <c r="F457" s="264"/>
      <c r="G457" s="265"/>
    </row>
    <row r="458" ht="48.75" spans="1:7">
      <c r="A458" s="256" t="s">
        <v>224</v>
      </c>
      <c r="B458" s="116"/>
      <c r="D458" s="72"/>
      <c r="E458" s="72"/>
      <c r="F458" s="73"/>
      <c r="G458" s="73"/>
    </row>
    <row r="459" ht="84.75" spans="1:7">
      <c r="A459" s="266" t="s">
        <v>225</v>
      </c>
      <c r="B459" s="116"/>
      <c r="D459" s="72"/>
      <c r="E459" s="72">
        <f>0.6*E457</f>
        <v>0</v>
      </c>
      <c r="F459" s="73">
        <f>0.6*F457</f>
        <v>0</v>
      </c>
      <c r="G459" s="73"/>
    </row>
    <row r="462" spans="1:2">
      <c r="A462" s="531" t="s">
        <v>226</v>
      </c>
      <c r="B462" s="95" t="e">
        <f>AVERAGE(B410:B449)</f>
        <v>#DIV/0!</v>
      </c>
    </row>
    <row r="463" spans="1:2">
      <c r="A463" s="531" t="s">
        <v>227</v>
      </c>
      <c r="B463" s="96" t="e">
        <f>AVERAGE(B415:B444)</f>
        <v>#DIV/0!</v>
      </c>
    </row>
    <row r="464" spans="1:2">
      <c r="A464" s="531" t="s">
        <v>228</v>
      </c>
      <c r="B464" s="96" t="e">
        <f>AVERAGE(B421:B439)</f>
        <v>#DIV/0!</v>
      </c>
    </row>
  </sheetData>
  <mergeCells count="14">
    <mergeCell ref="B2:D2"/>
    <mergeCell ref="B69:D69"/>
    <mergeCell ref="B134:D134"/>
    <mergeCell ref="B200:D200"/>
    <mergeCell ref="B266:D266"/>
    <mergeCell ref="B333:D333"/>
    <mergeCell ref="B401:D401"/>
    <mergeCell ref="A2:A4"/>
    <mergeCell ref="A69:A71"/>
    <mergeCell ref="A134:A136"/>
    <mergeCell ref="A200:A202"/>
    <mergeCell ref="A266:A268"/>
    <mergeCell ref="A333:A335"/>
    <mergeCell ref="A401:A403"/>
  </mergeCells>
  <pageMargins left="0.7" right="0.7" top="0.75" bottom="0.75" header="0.3" footer="0.3"/>
  <pageSetup paperSize="9" orientation="portrait"/>
  <headerFooter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Лист12">
    <tabColor rgb="FF92D050"/>
  </sheetPr>
  <dimension ref="A1:L464"/>
  <sheetViews>
    <sheetView topLeftCell="A424" workbookViewId="0">
      <selection activeCell="E224" sqref="E224:E225"/>
    </sheetView>
  </sheetViews>
  <sheetFormatPr defaultColWidth="8.72380952380952" defaultRowHeight="15"/>
  <cols>
    <col min="3" max="3" width="9.18095238095238"/>
    <col min="5" max="5" width="9.45714285714286" customWidth="1"/>
    <col min="6" max="6" width="8.72380952380952" style="64"/>
    <col min="7" max="7" width="9.45714285714286" style="64" customWidth="1"/>
  </cols>
  <sheetData>
    <row r="1" ht="15.75" spans="4:5">
      <c r="D1" s="65">
        <v>0.1</v>
      </c>
      <c r="E1" s="65">
        <v>0.4</v>
      </c>
    </row>
    <row r="2" ht="23.25" customHeight="1" spans="1:7">
      <c r="A2" s="252" t="s">
        <v>165</v>
      </c>
      <c r="B2" s="67" t="s">
        <v>166</v>
      </c>
      <c r="C2" s="68"/>
      <c r="D2" s="69"/>
      <c r="E2" s="70">
        <f>(1-E57)^(1/3)-1</f>
        <v>-0.0279623349927079</v>
      </c>
      <c r="F2" s="70">
        <f>(1-F57)^(1/3)-1</f>
        <v>-0.030089085831418</v>
      </c>
      <c r="G2" s="70"/>
    </row>
    <row r="3" ht="72.75" spans="1:7">
      <c r="A3" s="253"/>
      <c r="B3" s="72" t="s">
        <v>167</v>
      </c>
      <c r="C3" s="72"/>
      <c r="D3" s="72" t="s">
        <v>168</v>
      </c>
      <c r="E3" s="72" t="s">
        <v>169</v>
      </c>
      <c r="F3" s="73" t="s">
        <v>169</v>
      </c>
      <c r="G3" s="73"/>
    </row>
    <row r="4" ht="16.5" customHeight="1" spans="1:7">
      <c r="A4" s="254"/>
      <c r="B4" s="72" t="s">
        <v>170</v>
      </c>
      <c r="C4" s="72"/>
      <c r="D4" s="72" t="s">
        <v>171</v>
      </c>
      <c r="E4" s="72" t="s">
        <v>171</v>
      </c>
      <c r="F4" s="73" t="s">
        <v>171</v>
      </c>
      <c r="G4" s="73"/>
    </row>
    <row r="5" ht="15.75" spans="1:7">
      <c r="A5" s="75">
        <v>1</v>
      </c>
      <c r="B5" s="76">
        <v>2</v>
      </c>
      <c r="C5" s="76"/>
      <c r="D5" s="76">
        <v>3</v>
      </c>
      <c r="E5" s="76">
        <v>4</v>
      </c>
      <c r="F5" s="77">
        <v>5</v>
      </c>
      <c r="G5" s="77"/>
    </row>
    <row r="6" ht="15.75" spans="1:7">
      <c r="A6" s="530" t="s">
        <v>172</v>
      </c>
      <c r="B6" s="272">
        <v>7.1</v>
      </c>
      <c r="C6" s="79">
        <v>0</v>
      </c>
      <c r="D6" s="80">
        <v>0</v>
      </c>
      <c r="E6" s="80">
        <v>0</v>
      </c>
      <c r="F6" s="81">
        <v>0</v>
      </c>
      <c r="G6" s="81">
        <v>0</v>
      </c>
    </row>
    <row r="7" ht="15.75" spans="1:7">
      <c r="A7" s="530" t="s">
        <v>173</v>
      </c>
      <c r="B7" s="74">
        <v>11.5</v>
      </c>
      <c r="C7" s="79">
        <f>B6</f>
        <v>7.1</v>
      </c>
      <c r="D7" s="80">
        <v>0</v>
      </c>
      <c r="E7" s="80">
        <v>0</v>
      </c>
      <c r="F7" s="81">
        <v>0</v>
      </c>
      <c r="G7" s="81">
        <v>0</v>
      </c>
    </row>
    <row r="8" ht="15.75" spans="1:7">
      <c r="A8" s="530" t="s">
        <v>174</v>
      </c>
      <c r="B8" s="74">
        <v>15.3</v>
      </c>
      <c r="C8" s="79">
        <f t="shared" ref="C8:C56" si="0">B7</f>
        <v>11.5</v>
      </c>
      <c r="D8" s="80">
        <v>0</v>
      </c>
      <c r="E8" s="80">
        <v>0</v>
      </c>
      <c r="F8" s="81">
        <v>0</v>
      </c>
      <c r="G8" s="81">
        <v>0.00196078431372549</v>
      </c>
    </row>
    <row r="9" ht="15.75" spans="1:7">
      <c r="A9" s="530" t="s">
        <v>175</v>
      </c>
      <c r="B9" s="74">
        <v>17.6</v>
      </c>
      <c r="C9" s="79">
        <f t="shared" si="0"/>
        <v>15.3</v>
      </c>
      <c r="D9" s="80">
        <v>0</v>
      </c>
      <c r="E9" s="80">
        <v>0</v>
      </c>
      <c r="F9" s="81">
        <v>0</v>
      </c>
      <c r="G9" s="81">
        <v>0.0147727272727273</v>
      </c>
    </row>
    <row r="10" ht="15.75" spans="1:7">
      <c r="A10" s="530" t="s">
        <v>176</v>
      </c>
      <c r="B10" s="74">
        <v>19.7</v>
      </c>
      <c r="C10" s="79">
        <f t="shared" si="0"/>
        <v>17.6</v>
      </c>
      <c r="D10" s="80">
        <v>0</v>
      </c>
      <c r="E10" s="80">
        <v>0</v>
      </c>
      <c r="F10" s="81">
        <v>0</v>
      </c>
      <c r="G10" s="81">
        <v>0.0238578680203046</v>
      </c>
    </row>
    <row r="11" ht="15.75" spans="1:7">
      <c r="A11" s="530" t="s">
        <v>177</v>
      </c>
      <c r="B11" s="74">
        <v>21.6</v>
      </c>
      <c r="C11" s="79">
        <f t="shared" si="0"/>
        <v>19.7</v>
      </c>
      <c r="D11" s="80">
        <v>0</v>
      </c>
      <c r="E11" s="80">
        <v>0</v>
      </c>
      <c r="F11" s="81">
        <v>0</v>
      </c>
      <c r="G11" s="81">
        <v>0.0305555555555556</v>
      </c>
    </row>
    <row r="12" ht="15.75" spans="1:7">
      <c r="A12" s="530" t="s">
        <v>178</v>
      </c>
      <c r="B12" s="74">
        <v>23.3</v>
      </c>
      <c r="C12" s="79">
        <f t="shared" si="0"/>
        <v>21.6</v>
      </c>
      <c r="D12" s="80">
        <v>0</v>
      </c>
      <c r="E12" s="80">
        <v>0</v>
      </c>
      <c r="F12" s="81">
        <v>0</v>
      </c>
      <c r="G12" s="81">
        <v>0.0356223175965665</v>
      </c>
    </row>
    <row r="13" ht="15.75" spans="1:7">
      <c r="A13" s="78" t="s">
        <v>179</v>
      </c>
      <c r="B13" s="74">
        <v>24.9</v>
      </c>
      <c r="C13" s="79">
        <f t="shared" si="0"/>
        <v>23.3</v>
      </c>
      <c r="D13" s="80">
        <v>0</v>
      </c>
      <c r="E13" s="80">
        <v>0</v>
      </c>
      <c r="F13" s="81">
        <v>0</v>
      </c>
      <c r="G13" s="81">
        <v>0.0397590361445783</v>
      </c>
    </row>
    <row r="14" ht="15.75" spans="1:7">
      <c r="A14" s="78" t="s">
        <v>180</v>
      </c>
      <c r="B14" s="74">
        <v>26.3</v>
      </c>
      <c r="C14" s="79">
        <f t="shared" si="0"/>
        <v>24.9</v>
      </c>
      <c r="D14" s="80">
        <v>0</v>
      </c>
      <c r="E14" s="80">
        <v>0</v>
      </c>
      <c r="F14" s="81">
        <v>0</v>
      </c>
      <c r="G14" s="81">
        <v>0.0577946768060837</v>
      </c>
    </row>
    <row r="15" ht="15.75" spans="1:7">
      <c r="A15" s="78" t="s">
        <v>181</v>
      </c>
      <c r="B15" s="74">
        <v>27.9</v>
      </c>
      <c r="C15" s="79">
        <f t="shared" si="0"/>
        <v>26.3</v>
      </c>
      <c r="D15" s="80">
        <v>0</v>
      </c>
      <c r="E15" s="80">
        <v>0</v>
      </c>
      <c r="F15" s="81">
        <v>0</v>
      </c>
      <c r="G15" s="81">
        <v>0.0774193548387097</v>
      </c>
    </row>
    <row r="16" ht="15.75" spans="1:7">
      <c r="A16" s="78" t="s">
        <v>182</v>
      </c>
      <c r="B16" s="74">
        <v>29.3</v>
      </c>
      <c r="C16" s="79">
        <f t="shared" si="0"/>
        <v>27.9</v>
      </c>
      <c r="D16" s="80">
        <v>0</v>
      </c>
      <c r="E16" s="80">
        <v>0</v>
      </c>
      <c r="F16" s="81">
        <v>0</v>
      </c>
      <c r="G16" s="81">
        <v>0.0928327645051195</v>
      </c>
    </row>
    <row r="17" ht="15.75" spans="1:7">
      <c r="A17" s="78" t="s">
        <v>183</v>
      </c>
      <c r="B17" s="74">
        <v>30.4</v>
      </c>
      <c r="C17" s="79">
        <f t="shared" si="0"/>
        <v>29.3</v>
      </c>
      <c r="D17" s="80">
        <v>0</v>
      </c>
      <c r="E17" s="80">
        <v>0</v>
      </c>
      <c r="F17" s="81">
        <v>0</v>
      </c>
      <c r="G17" s="81">
        <v>0.103947368421053</v>
      </c>
    </row>
    <row r="18" ht="15.75" spans="1:7">
      <c r="A18" s="78" t="s">
        <v>184</v>
      </c>
      <c r="B18" s="74">
        <v>32</v>
      </c>
      <c r="C18" s="79">
        <f t="shared" si="0"/>
        <v>30.4</v>
      </c>
      <c r="D18" s="80">
        <v>0</v>
      </c>
      <c r="E18" s="80">
        <v>0</v>
      </c>
      <c r="F18" s="81"/>
      <c r="G18" s="81">
        <v>0.11875</v>
      </c>
    </row>
    <row r="19" ht="15.75" spans="1:7">
      <c r="A19" s="78" t="s">
        <v>185</v>
      </c>
      <c r="B19" s="74">
        <v>33.4</v>
      </c>
      <c r="C19" s="79">
        <f t="shared" si="0"/>
        <v>32</v>
      </c>
      <c r="D19" s="80">
        <v>0.0207335329341316</v>
      </c>
      <c r="E19" s="80"/>
      <c r="F19" s="81"/>
      <c r="G19" s="81">
        <v>0.130538922155689</v>
      </c>
    </row>
    <row r="20" ht="15.75" spans="1:7">
      <c r="A20" s="78" t="s">
        <v>186</v>
      </c>
      <c r="B20" s="74">
        <v>34.8</v>
      </c>
      <c r="C20" s="79">
        <f t="shared" si="0"/>
        <v>33.4</v>
      </c>
      <c r="D20" s="80">
        <v>0.0601293103448274</v>
      </c>
      <c r="E20" s="80"/>
      <c r="F20" s="81">
        <v>0.0103563218390804</v>
      </c>
      <c r="G20" s="81">
        <v>0.141379310344828</v>
      </c>
    </row>
    <row r="21" ht="15.75" spans="1:7">
      <c r="A21" s="78" t="s">
        <v>187</v>
      </c>
      <c r="B21" s="74">
        <v>36</v>
      </c>
      <c r="C21" s="79">
        <f t="shared" si="0"/>
        <v>34.8</v>
      </c>
      <c r="D21" s="80">
        <v>0.0914583333333333</v>
      </c>
      <c r="E21" s="80"/>
      <c r="F21" s="81">
        <v>0.0133444444444444</v>
      </c>
      <c r="G21" s="81">
        <v>0.15</v>
      </c>
    </row>
    <row r="22" ht="15.75" spans="1:7">
      <c r="A22" s="78" t="s">
        <v>188</v>
      </c>
      <c r="B22" s="74">
        <v>37.4</v>
      </c>
      <c r="C22" s="79">
        <f t="shared" si="0"/>
        <v>36</v>
      </c>
      <c r="D22" s="80">
        <v>0.125467914438503</v>
      </c>
      <c r="E22" s="80">
        <v>0.0125467914438503</v>
      </c>
      <c r="F22" s="81">
        <v>0.0165882352941176</v>
      </c>
      <c r="G22" s="81">
        <v>0.159358288770053</v>
      </c>
    </row>
    <row r="23" ht="15.75" spans="1:7">
      <c r="A23" s="78" t="s">
        <v>189</v>
      </c>
      <c r="B23" s="74">
        <v>38.7</v>
      </c>
      <c r="C23" s="79">
        <f t="shared" si="0"/>
        <v>37.4</v>
      </c>
      <c r="D23" s="80">
        <v>0.15484496124031</v>
      </c>
      <c r="E23" s="80">
        <v>0.015484496124031</v>
      </c>
      <c r="F23" s="81">
        <v>0.019390180878553</v>
      </c>
      <c r="G23" s="81">
        <v>0.167441860465116</v>
      </c>
    </row>
    <row r="24" ht="15.75" spans="1:7">
      <c r="A24" s="78" t="s">
        <v>190</v>
      </c>
      <c r="B24" s="74">
        <v>40.2</v>
      </c>
      <c r="C24" s="79">
        <f t="shared" si="0"/>
        <v>38.7</v>
      </c>
      <c r="D24" s="80">
        <v>0.186380597014925</v>
      </c>
      <c r="E24" s="80">
        <v>0.0186380597014925</v>
      </c>
      <c r="F24" s="81">
        <v>0.0223980099502488</v>
      </c>
      <c r="G24" s="81">
        <v>0.176119402985075</v>
      </c>
    </row>
    <row r="25" ht="15.75" spans="1:7">
      <c r="A25" s="78" t="s">
        <v>191</v>
      </c>
      <c r="B25" s="74">
        <v>41.9</v>
      </c>
      <c r="C25" s="79">
        <f t="shared" si="0"/>
        <v>40.2</v>
      </c>
      <c r="D25" s="80">
        <v>0.219391408114558</v>
      </c>
      <c r="E25" s="80">
        <v>0.0219391408114558</v>
      </c>
      <c r="F25" s="81">
        <v>0.0255465393794749</v>
      </c>
      <c r="G25" s="81">
        <v>0.185202863961814</v>
      </c>
    </row>
    <row r="26" ht="15.75" spans="1:7">
      <c r="A26" s="78" t="s">
        <v>192</v>
      </c>
      <c r="B26" s="74">
        <v>43.6</v>
      </c>
      <c r="C26" s="79">
        <f t="shared" si="0"/>
        <v>41.9</v>
      </c>
      <c r="D26" s="80">
        <v>0.249827981651376</v>
      </c>
      <c r="E26" s="80">
        <v>0.0249827981651376</v>
      </c>
      <c r="F26" s="81">
        <v>0.0284495412844037</v>
      </c>
      <c r="G26" s="81">
        <v>0.193577981651376</v>
      </c>
    </row>
    <row r="27" ht="15.75" spans="1:7">
      <c r="A27" s="78" t="s">
        <v>193</v>
      </c>
      <c r="B27" s="74">
        <v>45</v>
      </c>
      <c r="C27" s="79">
        <f t="shared" si="0"/>
        <v>43.6</v>
      </c>
      <c r="D27" s="80">
        <v>0.273166666666667</v>
      </c>
      <c r="E27" s="80">
        <v>0.0273166666666667</v>
      </c>
      <c r="F27" s="81">
        <v>0.0306755555555555</v>
      </c>
      <c r="G27" s="81">
        <v>0.2</v>
      </c>
    </row>
    <row r="28" ht="15.75" spans="1:7">
      <c r="A28" s="78" t="s">
        <v>194</v>
      </c>
      <c r="B28" s="74">
        <v>46.6</v>
      </c>
      <c r="C28" s="79">
        <f t="shared" si="0"/>
        <v>45</v>
      </c>
      <c r="D28" s="80">
        <v>0.298122317596566</v>
      </c>
      <c r="E28" s="80">
        <v>0.0298122317596566</v>
      </c>
      <c r="F28" s="81">
        <v>0.0330557939914163</v>
      </c>
      <c r="G28" s="81">
        <v>0.2068669527897</v>
      </c>
    </row>
    <row r="29" ht="15.75" spans="1:7">
      <c r="A29" s="78" t="s">
        <v>195</v>
      </c>
      <c r="B29" s="74">
        <v>48.2</v>
      </c>
      <c r="C29" s="79">
        <f t="shared" si="0"/>
        <v>46.6</v>
      </c>
      <c r="D29" s="80">
        <v>0.321421161825726</v>
      </c>
      <c r="E29" s="80">
        <v>0.0321421161825726</v>
      </c>
      <c r="F29" s="81">
        <v>0.0352780082987552</v>
      </c>
      <c r="G29" s="81">
        <v>0.213278008298755</v>
      </c>
    </row>
    <row r="30" ht="15.75" spans="1:7">
      <c r="A30" s="78" t="s">
        <v>196</v>
      </c>
      <c r="B30" s="74">
        <v>49.7</v>
      </c>
      <c r="C30" s="79">
        <f t="shared" si="0"/>
        <v>48.2</v>
      </c>
      <c r="D30" s="80">
        <v>0.341901408450704</v>
      </c>
      <c r="E30" s="80">
        <v>0.0341901408450704</v>
      </c>
      <c r="F30" s="81">
        <v>0.0372313883299799</v>
      </c>
      <c r="G30" s="81">
        <v>0.218913480885312</v>
      </c>
    </row>
    <row r="31" ht="15.75" spans="1:7">
      <c r="A31" s="78" t="s">
        <v>197</v>
      </c>
      <c r="B31" s="74">
        <v>51</v>
      </c>
      <c r="C31" s="79">
        <f t="shared" si="0"/>
        <v>49.7</v>
      </c>
      <c r="D31" s="80">
        <v>0.358676470588235</v>
      </c>
      <c r="E31" s="80">
        <v>0.0358676470588235</v>
      </c>
      <c r="F31" s="81">
        <v>0.0388313725490196</v>
      </c>
      <c r="G31" s="81">
        <v>0.223529411764706</v>
      </c>
    </row>
    <row r="32" ht="15.75" spans="1:7">
      <c r="A32" s="78" t="s">
        <v>198</v>
      </c>
      <c r="B32" s="74">
        <v>52.2</v>
      </c>
      <c r="C32" s="79">
        <f t="shared" si="0"/>
        <v>51</v>
      </c>
      <c r="D32" s="80">
        <v>0.373419540229885</v>
      </c>
      <c r="E32" s="80">
        <v>0.0373419540229885</v>
      </c>
      <c r="F32" s="81">
        <v>0.0414252873563218</v>
      </c>
      <c r="G32" s="81">
        <v>0.227586206896552</v>
      </c>
    </row>
    <row r="33" ht="15.75" spans="1:7">
      <c r="A33" s="78" t="s">
        <v>199</v>
      </c>
      <c r="B33" s="74">
        <v>53.7</v>
      </c>
      <c r="C33" s="79">
        <f t="shared" si="0"/>
        <v>52.2</v>
      </c>
      <c r="D33" s="80">
        <v>0.390921787709497</v>
      </c>
      <c r="E33" s="80">
        <v>0.0390921787709497</v>
      </c>
      <c r="F33" s="81">
        <v>0.0514413407821228</v>
      </c>
      <c r="G33" s="81">
        <v>0.232402234636872</v>
      </c>
    </row>
    <row r="34" ht="15.75" spans="1:7">
      <c r="A34" s="78" t="s">
        <v>200</v>
      </c>
      <c r="B34" s="74">
        <v>55.4</v>
      </c>
      <c r="C34" s="79">
        <f t="shared" si="0"/>
        <v>53.7</v>
      </c>
      <c r="D34" s="80">
        <v>0.409611913357401</v>
      </c>
      <c r="E34" s="80">
        <v>0.0457671480144404</v>
      </c>
      <c r="F34" s="81">
        <v>0.0621371841155234</v>
      </c>
      <c r="G34" s="81">
        <v>0.237545126353791</v>
      </c>
    </row>
    <row r="35" ht="15.75" spans="1:7">
      <c r="A35" s="78" t="s">
        <v>201</v>
      </c>
      <c r="B35" s="74">
        <v>57.5</v>
      </c>
      <c r="C35" s="79">
        <f t="shared" si="0"/>
        <v>55.4</v>
      </c>
      <c r="D35" s="80">
        <v>0.431173913043478</v>
      </c>
      <c r="E35" s="80">
        <v>0.0587043478260869</v>
      </c>
      <c r="F35" s="81">
        <v>0.0744765217391304</v>
      </c>
      <c r="G35" s="81">
        <v>0.243478260869565</v>
      </c>
    </row>
    <row r="36" ht="15.75" spans="1:7">
      <c r="A36" s="78" t="s">
        <v>202</v>
      </c>
      <c r="B36" s="74">
        <v>59.7</v>
      </c>
      <c r="C36" s="79">
        <f t="shared" si="0"/>
        <v>57.5</v>
      </c>
      <c r="D36" s="80">
        <v>0.45213567839196</v>
      </c>
      <c r="E36" s="80">
        <v>0.0712814070351758</v>
      </c>
      <c r="F36" s="81">
        <v>0.0864723618090452</v>
      </c>
      <c r="G36" s="81">
        <v>0.249246231155779</v>
      </c>
    </row>
    <row r="37" ht="15.75" spans="1:7">
      <c r="A37" s="78" t="s">
        <v>203</v>
      </c>
      <c r="B37" s="74">
        <v>61.4</v>
      </c>
      <c r="C37" s="79">
        <f t="shared" si="0"/>
        <v>59.7</v>
      </c>
      <c r="D37" s="80">
        <v>0.467304560260586</v>
      </c>
      <c r="E37" s="80">
        <v>0.0803827361563517</v>
      </c>
      <c r="F37" s="81">
        <v>0.0951530944625406</v>
      </c>
      <c r="G37" s="81">
        <v>0.253420195439739</v>
      </c>
    </row>
    <row r="38" ht="15.75" spans="1:7">
      <c r="A38" s="78" t="s">
        <v>204</v>
      </c>
      <c r="B38" s="74">
        <v>63.4</v>
      </c>
      <c r="C38" s="79">
        <f t="shared" si="0"/>
        <v>61.4</v>
      </c>
      <c r="D38" s="80">
        <v>0.484108832807571</v>
      </c>
      <c r="E38" s="80">
        <v>0.0904652996845425</v>
      </c>
      <c r="F38" s="81">
        <v>0.104769716088328</v>
      </c>
      <c r="G38" s="81">
        <v>0.258044164037855</v>
      </c>
    </row>
    <row r="39" ht="15.75" spans="1:8">
      <c r="A39" s="78" t="s">
        <v>205</v>
      </c>
      <c r="B39" s="74">
        <v>65.8</v>
      </c>
      <c r="C39" s="79">
        <f t="shared" si="0"/>
        <v>63.4</v>
      </c>
      <c r="D39" s="80">
        <v>0.502925531914894</v>
      </c>
      <c r="E39" s="80">
        <v>0.101755319148936</v>
      </c>
      <c r="F39" s="81">
        <v>0.115537993920973</v>
      </c>
      <c r="G39" s="81">
        <v>0.26322188449848</v>
      </c>
      <c r="H39">
        <f>B39*(1-E39)</f>
        <v>59.1045</v>
      </c>
    </row>
    <row r="40" ht="15.75" spans="1:7">
      <c r="A40" s="78" t="s">
        <v>206</v>
      </c>
      <c r="B40" s="74">
        <v>67.9</v>
      </c>
      <c r="C40" s="79">
        <f t="shared" si="0"/>
        <v>65.8</v>
      </c>
      <c r="D40" s="80">
        <v>0.518298969072165</v>
      </c>
      <c r="E40" s="80">
        <v>0.110979381443299</v>
      </c>
      <c r="F40" s="81">
        <v>0.124335787923417</v>
      </c>
      <c r="G40" s="81">
        <v>0.267452135493373</v>
      </c>
    </row>
    <row r="41" ht="15.75" spans="1:8">
      <c r="A41" s="78" t="s">
        <v>207</v>
      </c>
      <c r="B41" s="74">
        <v>70.4</v>
      </c>
      <c r="C41" s="79">
        <f t="shared" si="0"/>
        <v>67.9</v>
      </c>
      <c r="D41" s="80">
        <v>0.535404829545455</v>
      </c>
      <c r="E41" s="80">
        <v>0.121242897727273</v>
      </c>
      <c r="F41" s="81">
        <v>0.134125</v>
      </c>
      <c r="G41" s="81">
        <v>0.272159090909091</v>
      </c>
      <c r="H41">
        <f>B41*(1-E41)</f>
        <v>61.8645</v>
      </c>
    </row>
    <row r="42" ht="15.75" spans="1:7">
      <c r="A42" s="78" t="s">
        <v>208</v>
      </c>
      <c r="B42" s="74">
        <v>73.7</v>
      </c>
      <c r="C42" s="79">
        <f t="shared" si="0"/>
        <v>70.4</v>
      </c>
      <c r="D42" s="80">
        <v>0.556207598371777</v>
      </c>
      <c r="E42" s="80">
        <v>0.133724559023066</v>
      </c>
      <c r="F42" s="81">
        <v>0.146029850746269</v>
      </c>
      <c r="G42" s="81">
        <v>0.277883310719132</v>
      </c>
    </row>
    <row r="43" ht="15.75" spans="1:7">
      <c r="A43" s="78" t="s">
        <v>209</v>
      </c>
      <c r="B43" s="74">
        <v>77</v>
      </c>
      <c r="C43" s="79">
        <f t="shared" si="0"/>
        <v>73.7</v>
      </c>
      <c r="D43" s="80">
        <v>0.575227272727273</v>
      </c>
      <c r="E43" s="80">
        <v>0.145136363636364</v>
      </c>
      <c r="F43" s="81">
        <v>0.156914285714286</v>
      </c>
      <c r="G43" s="81">
        <v>0.283116883116883</v>
      </c>
    </row>
    <row r="44" ht="15.75" spans="1:8">
      <c r="A44" s="78" t="s">
        <v>210</v>
      </c>
      <c r="B44" s="74">
        <v>80.1</v>
      </c>
      <c r="C44" s="79">
        <f t="shared" si="0"/>
        <v>77</v>
      </c>
      <c r="D44" s="80">
        <v>0.591666666666667</v>
      </c>
      <c r="E44" s="80">
        <v>0.155</v>
      </c>
      <c r="F44" s="81">
        <v>0.166322097378277</v>
      </c>
      <c r="G44" s="81">
        <v>0.287640449438202</v>
      </c>
      <c r="H44">
        <f>B44*(1-E44)</f>
        <v>67.6845</v>
      </c>
    </row>
    <row r="45" ht="15.75" spans="1:8">
      <c r="A45" s="78" t="s">
        <v>211</v>
      </c>
      <c r="B45" s="74">
        <v>83.4</v>
      </c>
      <c r="C45" s="79">
        <f t="shared" si="0"/>
        <v>80.1</v>
      </c>
      <c r="D45" s="80">
        <v>0.607823741007194</v>
      </c>
      <c r="E45" s="80">
        <v>0.164694244604317</v>
      </c>
      <c r="F45" s="81">
        <v>0.175568345323741</v>
      </c>
      <c r="G45" s="81">
        <v>0.292086330935252</v>
      </c>
      <c r="H45">
        <f>B45*(1-E45)</f>
        <v>69.6645</v>
      </c>
    </row>
    <row r="46" ht="15.75" spans="1:7">
      <c r="A46" s="78" t="s">
        <v>212</v>
      </c>
      <c r="B46" s="74">
        <v>87.5</v>
      </c>
      <c r="C46" s="79">
        <f t="shared" si="0"/>
        <v>83.4</v>
      </c>
      <c r="D46" s="80">
        <v>0.6262</v>
      </c>
      <c r="E46" s="80">
        <v>0.17572</v>
      </c>
      <c r="F46" s="81">
        <v>0.186084571428571</v>
      </c>
      <c r="G46" s="81">
        <v>0.297142857142857</v>
      </c>
    </row>
    <row r="47" ht="15.75" spans="1:7">
      <c r="A47" s="78" t="s">
        <v>213</v>
      </c>
      <c r="B47" s="74">
        <v>92.2</v>
      </c>
      <c r="C47" s="79">
        <f t="shared" si="0"/>
        <v>87.5</v>
      </c>
      <c r="D47" s="80">
        <v>0.645254880694143</v>
      </c>
      <c r="E47" s="80">
        <v>0.187152928416486</v>
      </c>
      <c r="F47" s="81">
        <v>0.196989154013015</v>
      </c>
      <c r="G47" s="81">
        <v>0.302386117136659</v>
      </c>
    </row>
    <row r="48" ht="15.75" spans="1:8">
      <c r="A48" s="78" t="s">
        <v>214</v>
      </c>
      <c r="B48" s="74">
        <v>97.4</v>
      </c>
      <c r="C48" s="79">
        <f t="shared" si="0"/>
        <v>92.2</v>
      </c>
      <c r="D48" s="80">
        <v>0.664194045174538</v>
      </c>
      <c r="E48" s="80">
        <v>0.198516427104723</v>
      </c>
      <c r="F48" s="81">
        <v>0.207827515400411</v>
      </c>
      <c r="G48" s="81">
        <v>0.307597535934292</v>
      </c>
      <c r="H48">
        <f>B48*(1-E48)</f>
        <v>78.0645</v>
      </c>
    </row>
    <row r="49" ht="15.75" spans="1:7">
      <c r="A49" s="78" t="s">
        <v>215</v>
      </c>
      <c r="B49" s="74">
        <v>104.2</v>
      </c>
      <c r="C49" s="79">
        <f t="shared" si="0"/>
        <v>97.4</v>
      </c>
      <c r="D49" s="80">
        <v>0.686108445297505</v>
      </c>
      <c r="E49" s="80">
        <v>0.211665067178503</v>
      </c>
      <c r="F49" s="81">
        <v>0.220368522072937</v>
      </c>
      <c r="G49" s="81">
        <v>0.31362763915547</v>
      </c>
    </row>
    <row r="50" ht="15.75" spans="1:7">
      <c r="A50" s="78" t="s">
        <v>216</v>
      </c>
      <c r="B50" s="74">
        <v>115.4</v>
      </c>
      <c r="C50" s="79">
        <f t="shared" si="0"/>
        <v>104.2</v>
      </c>
      <c r="D50" s="80">
        <v>0.716572790294627</v>
      </c>
      <c r="E50" s="80">
        <v>0.229943674176776</v>
      </c>
      <c r="F50" s="81">
        <v>0.237802426343154</v>
      </c>
      <c r="G50" s="81">
        <v>0.322010398613518</v>
      </c>
    </row>
    <row r="51" ht="15.75" spans="1:8">
      <c r="A51" s="78" t="s">
        <v>217</v>
      </c>
      <c r="B51" s="74">
        <v>129.1</v>
      </c>
      <c r="C51" s="79">
        <f t="shared" si="0"/>
        <v>115.4</v>
      </c>
      <c r="D51" s="80">
        <v>0.746649883810999</v>
      </c>
      <c r="E51" s="80">
        <v>0.2479899302866</v>
      </c>
      <c r="F51" s="81">
        <v>0.255014717273431</v>
      </c>
      <c r="G51" s="81">
        <v>0.330286599535244</v>
      </c>
      <c r="H51" t="s">
        <v>232</v>
      </c>
    </row>
    <row r="52" ht="15.75" spans="1:7">
      <c r="A52" s="78" t="s">
        <v>218</v>
      </c>
      <c r="B52" s="74">
        <v>148.2</v>
      </c>
      <c r="C52" s="79">
        <f t="shared" si="0"/>
        <v>129.1</v>
      </c>
      <c r="D52" s="80">
        <v>0.779301619433198</v>
      </c>
      <c r="E52" s="80">
        <v>0.267580971659919</v>
      </c>
      <c r="F52" s="81">
        <v>0.2737004048583</v>
      </c>
      <c r="G52" s="81">
        <v>0.339271255060729</v>
      </c>
    </row>
    <row r="53" ht="15.75" spans="1:8">
      <c r="A53" s="78" t="s">
        <v>219</v>
      </c>
      <c r="B53" s="74">
        <v>168.7</v>
      </c>
      <c r="C53" s="79">
        <f t="shared" si="0"/>
        <v>148.2</v>
      </c>
      <c r="D53" s="80">
        <v>0.806120331950207</v>
      </c>
      <c r="E53" s="80">
        <v>0.283672199170124</v>
      </c>
      <c r="F53" s="81">
        <v>0.289048014226437</v>
      </c>
      <c r="G53" s="81">
        <v>0.34665085951393</v>
      </c>
      <c r="H53">
        <f>B53*(1-E53)</f>
        <v>120.8445</v>
      </c>
    </row>
    <row r="54" ht="15.75" spans="1:8">
      <c r="A54" s="78" t="s">
        <v>220</v>
      </c>
      <c r="B54" s="74">
        <v>211.2</v>
      </c>
      <c r="C54" s="79">
        <f t="shared" si="0"/>
        <v>168.7</v>
      </c>
      <c r="D54" s="80">
        <v>0.845134943181818</v>
      </c>
      <c r="E54" s="80">
        <v>0.307080965909091</v>
      </c>
      <c r="F54" s="81">
        <v>0.311375</v>
      </c>
      <c r="G54" s="81">
        <v>0.357386363636364</v>
      </c>
      <c r="H54" t="s">
        <v>232</v>
      </c>
    </row>
    <row r="55" spans="1:7">
      <c r="A55" s="78" t="s">
        <v>221</v>
      </c>
      <c r="B55" s="137">
        <v>345</v>
      </c>
      <c r="C55" s="79">
        <f t="shared" si="0"/>
        <v>211.2</v>
      </c>
      <c r="D55" s="80">
        <v>0.905195652173913</v>
      </c>
      <c r="E55" s="80">
        <v>0.343117391304348</v>
      </c>
      <c r="F55" s="81">
        <v>0.345746086956522</v>
      </c>
      <c r="G55" s="81">
        <v>0.373913043478261</v>
      </c>
    </row>
    <row r="56" spans="1:7">
      <c r="A56" s="78" t="s">
        <v>221</v>
      </c>
      <c r="B56" s="82" t="s">
        <v>383</v>
      </c>
      <c r="C56" s="79">
        <f t="shared" si="0"/>
        <v>345</v>
      </c>
      <c r="D56" s="83">
        <v>49.1</v>
      </c>
      <c r="E56" s="83"/>
      <c r="F56" s="84"/>
      <c r="G56" s="84"/>
    </row>
    <row r="57" spans="1:7">
      <c r="A57" s="78"/>
      <c r="B57" s="82"/>
      <c r="C57" s="82"/>
      <c r="D57" s="83"/>
      <c r="E57" s="85">
        <v>0.0815631919744069</v>
      </c>
      <c r="F57" s="86">
        <v>0.0875784394824602</v>
      </c>
      <c r="G57" s="86">
        <v>0.197980682225095</v>
      </c>
    </row>
    <row r="58" ht="48.75" spans="1:7">
      <c r="A58" s="87" t="s">
        <v>233</v>
      </c>
      <c r="B58" s="285">
        <v>25</v>
      </c>
      <c r="C58" s="82"/>
      <c r="D58" s="83"/>
      <c r="E58" s="127">
        <v>54.5125</v>
      </c>
      <c r="F58" s="128">
        <v>51.9933333333333</v>
      </c>
      <c r="G58" s="129">
        <v>25</v>
      </c>
    </row>
    <row r="59" ht="48.75" spans="1:7">
      <c r="A59" s="87" t="s">
        <v>224</v>
      </c>
      <c r="B59" s="285">
        <v>61.2</v>
      </c>
      <c r="C59" s="82"/>
      <c r="D59" s="83"/>
      <c r="E59" s="83"/>
      <c r="F59" s="84"/>
      <c r="G59" s="84"/>
    </row>
    <row r="60" ht="84.75" spans="1:7">
      <c r="A60" s="106" t="s">
        <v>225</v>
      </c>
      <c r="B60" s="116">
        <v>3.672</v>
      </c>
      <c r="C60" s="78"/>
      <c r="D60" s="83"/>
      <c r="E60" s="83">
        <v>32.7075</v>
      </c>
      <c r="F60" s="84">
        <v>31.196</v>
      </c>
      <c r="G60" s="84">
        <v>15</v>
      </c>
    </row>
    <row r="62" ht="48.75" spans="1:2">
      <c r="A62" s="256" t="s">
        <v>224</v>
      </c>
      <c r="B62">
        <f>B59</f>
        <v>61.2</v>
      </c>
    </row>
    <row r="63" spans="1:3">
      <c r="A63" s="531" t="s">
        <v>226</v>
      </c>
      <c r="B63" s="95">
        <f>AVERAGE(B11:B50)</f>
        <v>54.5125</v>
      </c>
      <c r="C63" s="95"/>
    </row>
    <row r="64" spans="1:3">
      <c r="A64" s="531" t="s">
        <v>227</v>
      </c>
      <c r="B64" s="96">
        <f>AVERAGE(B16:B45)</f>
        <v>51.9933333333333</v>
      </c>
      <c r="C64" s="96"/>
    </row>
    <row r="65" spans="1:3">
      <c r="A65" s="531" t="s">
        <v>228</v>
      </c>
      <c r="B65" s="96">
        <f>AVERAGE(B22:B40)</f>
        <v>51.5421052631579</v>
      </c>
      <c r="C65" s="96"/>
    </row>
    <row r="69" customHeight="1" spans="1:7">
      <c r="A69" s="83" t="s">
        <v>165</v>
      </c>
      <c r="B69" s="83" t="s">
        <v>229</v>
      </c>
      <c r="C69" s="83"/>
      <c r="D69" s="83"/>
      <c r="E69" s="98">
        <f>(1-E124)^(1/3)-1</f>
        <v>-0.0259662857418826</v>
      </c>
      <c r="F69" s="98">
        <f>(1-F124)^(1/3)-1</f>
        <v>-0.027771616986621</v>
      </c>
      <c r="G69" s="98"/>
    </row>
    <row r="70" ht="72" spans="1:7">
      <c r="A70" s="83"/>
      <c r="B70" s="83" t="s">
        <v>167</v>
      </c>
      <c r="C70" s="83"/>
      <c r="D70" s="83" t="s">
        <v>168</v>
      </c>
      <c r="E70" s="83" t="s">
        <v>169</v>
      </c>
      <c r="F70" s="84" t="s">
        <v>169</v>
      </c>
      <c r="G70" s="84"/>
    </row>
    <row r="71" ht="24" spans="1:7">
      <c r="A71" s="83"/>
      <c r="B71" s="83" t="s">
        <v>230</v>
      </c>
      <c r="C71" s="83"/>
      <c r="D71" s="83" t="s">
        <v>171</v>
      </c>
      <c r="E71" s="83" t="s">
        <v>171</v>
      </c>
      <c r="F71" s="84" t="s">
        <v>171</v>
      </c>
      <c r="G71" s="84"/>
    </row>
    <row r="72" ht="15.75" spans="1:7">
      <c r="A72" s="75">
        <v>1</v>
      </c>
      <c r="B72" s="76">
        <v>2</v>
      </c>
      <c r="C72" s="76"/>
      <c r="D72" s="76">
        <v>3</v>
      </c>
      <c r="E72" s="76">
        <v>4</v>
      </c>
      <c r="F72" s="77">
        <v>5</v>
      </c>
      <c r="G72" s="77"/>
    </row>
    <row r="73" ht="15.75" spans="1:7">
      <c r="A73" s="530" t="s">
        <v>172</v>
      </c>
      <c r="B73" s="272">
        <v>2.4</v>
      </c>
      <c r="C73" s="102">
        <v>0</v>
      </c>
      <c r="D73" s="80">
        <v>0</v>
      </c>
      <c r="E73" s="80">
        <v>0</v>
      </c>
      <c r="F73" s="81">
        <v>0</v>
      </c>
      <c r="G73" s="81">
        <v>0</v>
      </c>
    </row>
    <row r="74" ht="15.75" spans="1:7">
      <c r="A74" s="530" t="s">
        <v>173</v>
      </c>
      <c r="B74" s="74">
        <v>4</v>
      </c>
      <c r="C74" s="79">
        <f>B73</f>
        <v>2.4</v>
      </c>
      <c r="D74" s="80">
        <v>0</v>
      </c>
      <c r="E74" s="80">
        <v>0</v>
      </c>
      <c r="F74" s="81">
        <v>0</v>
      </c>
      <c r="G74" s="81">
        <v>0</v>
      </c>
    </row>
    <row r="75" ht="15.75" spans="1:7">
      <c r="A75" s="530" t="s">
        <v>174</v>
      </c>
      <c r="B75" s="74">
        <v>19.8</v>
      </c>
      <c r="C75" s="79">
        <f t="shared" ref="C75:C123" si="1">B74</f>
        <v>4</v>
      </c>
      <c r="D75" s="80">
        <v>0</v>
      </c>
      <c r="E75" s="80">
        <v>0</v>
      </c>
      <c r="F75" s="81">
        <v>0</v>
      </c>
      <c r="G75" s="81">
        <v>0</v>
      </c>
    </row>
    <row r="76" ht="15.75" spans="1:7">
      <c r="A76" s="530" t="s">
        <v>175</v>
      </c>
      <c r="B76" s="74">
        <v>22.7</v>
      </c>
      <c r="C76" s="79">
        <f t="shared" si="1"/>
        <v>19.8</v>
      </c>
      <c r="D76" s="80">
        <v>0</v>
      </c>
      <c r="E76" s="80">
        <v>0</v>
      </c>
      <c r="F76" s="81">
        <v>0</v>
      </c>
      <c r="G76" s="81">
        <v>0.0106607929515419</v>
      </c>
    </row>
    <row r="77" ht="15.75" spans="1:7">
      <c r="A77" s="530" t="s">
        <v>176</v>
      </c>
      <c r="B77" s="74">
        <v>23.6</v>
      </c>
      <c r="C77" s="79">
        <f t="shared" si="1"/>
        <v>22.7</v>
      </c>
      <c r="D77" s="80">
        <v>0</v>
      </c>
      <c r="E77" s="80">
        <v>0</v>
      </c>
      <c r="F77" s="81">
        <v>0</v>
      </c>
      <c r="G77" s="81">
        <v>0.0140677966101695</v>
      </c>
    </row>
    <row r="78" ht="15.75" spans="1:7">
      <c r="A78" s="530" t="s">
        <v>177</v>
      </c>
      <c r="B78" s="74">
        <v>24.3</v>
      </c>
      <c r="C78" s="79">
        <f t="shared" si="1"/>
        <v>23.6</v>
      </c>
      <c r="D78" s="80">
        <v>0</v>
      </c>
      <c r="E78" s="80">
        <v>0</v>
      </c>
      <c r="F78" s="81">
        <v>0</v>
      </c>
      <c r="G78" s="81">
        <v>0.0165432098765432</v>
      </c>
    </row>
    <row r="79" ht="15.75" spans="1:7">
      <c r="A79" s="530" t="s">
        <v>178</v>
      </c>
      <c r="B79" s="74">
        <v>25.6</v>
      </c>
      <c r="C79" s="79">
        <f t="shared" si="1"/>
        <v>24.3</v>
      </c>
      <c r="D79" s="80">
        <v>0.00185546875000012</v>
      </c>
      <c r="E79" s="80">
        <v>0.000185546875000012</v>
      </c>
      <c r="F79" s="81">
        <v>0.00364062499999999</v>
      </c>
      <c r="G79" s="81">
        <v>0.02078125</v>
      </c>
    </row>
    <row r="80" ht="15.75" spans="1:7">
      <c r="A80" s="78" t="s">
        <v>179</v>
      </c>
      <c r="B80" s="74">
        <v>26.5</v>
      </c>
      <c r="C80" s="79">
        <f t="shared" si="1"/>
        <v>25.6</v>
      </c>
      <c r="D80" s="80">
        <v>0.0357547169811321</v>
      </c>
      <c r="E80" s="80"/>
      <c r="F80" s="81">
        <v>0.0069132075471698</v>
      </c>
      <c r="G80" s="81">
        <v>0.0234716981132076</v>
      </c>
    </row>
    <row r="81" ht="15.75" spans="1:12">
      <c r="A81" s="78" t="s">
        <v>180</v>
      </c>
      <c r="B81" s="74">
        <v>27.6</v>
      </c>
      <c r="C81" s="79">
        <f t="shared" si="1"/>
        <v>26.5</v>
      </c>
      <c r="D81" s="80">
        <v>0.0741847826086958</v>
      </c>
      <c r="E81" s="80"/>
      <c r="F81" s="81">
        <v>0.0106231884057971</v>
      </c>
      <c r="G81" s="81">
        <v>0.0265217391304348</v>
      </c>
      <c r="J81">
        <v>10</v>
      </c>
      <c r="K81">
        <v>29</v>
      </c>
      <c r="L81">
        <v>30</v>
      </c>
    </row>
    <row r="82" ht="15.75" spans="1:10">
      <c r="A82" s="78" t="s">
        <v>181</v>
      </c>
      <c r="B82" s="74">
        <v>28.2</v>
      </c>
      <c r="C82" s="79">
        <f t="shared" si="1"/>
        <v>27.6</v>
      </c>
      <c r="D82" s="80">
        <v>0.0938829787234043</v>
      </c>
      <c r="E82" s="80"/>
      <c r="F82" s="81">
        <v>0.0125248226950355</v>
      </c>
      <c r="G82" s="81">
        <v>0.0280851063829787</v>
      </c>
      <c r="J82">
        <f>IF(AND(J81&lt;K81,K81&lt;L81),25,100)</f>
        <v>25</v>
      </c>
    </row>
    <row r="83" ht="15.75" spans="1:7">
      <c r="A83" s="78" t="s">
        <v>182</v>
      </c>
      <c r="B83" s="74">
        <v>29.1</v>
      </c>
      <c r="C83" s="79">
        <f t="shared" si="1"/>
        <v>28.2</v>
      </c>
      <c r="D83" s="80">
        <v>0.121907216494845</v>
      </c>
      <c r="E83" s="80">
        <v>0.0121907216494845</v>
      </c>
      <c r="F83" s="81">
        <v>0.0152302405498282</v>
      </c>
      <c r="G83" s="81">
        <v>0.0303092783505155</v>
      </c>
    </row>
    <row r="84" ht="15.75" spans="1:7">
      <c r="A84" s="78" t="s">
        <v>183</v>
      </c>
      <c r="B84" s="74">
        <v>29.8</v>
      </c>
      <c r="C84" s="79">
        <f t="shared" si="1"/>
        <v>29.1</v>
      </c>
      <c r="D84" s="80">
        <v>0.14253355704698</v>
      </c>
      <c r="E84" s="80">
        <v>0.014253355704698</v>
      </c>
      <c r="F84" s="81">
        <v>0.0172214765100671</v>
      </c>
      <c r="G84" s="81">
        <v>0.0319463087248322</v>
      </c>
    </row>
    <row r="85" ht="15.75" spans="1:7">
      <c r="A85" s="78" t="s">
        <v>184</v>
      </c>
      <c r="B85" s="74">
        <v>30.6</v>
      </c>
      <c r="C85" s="79">
        <f t="shared" si="1"/>
        <v>29.8</v>
      </c>
      <c r="D85" s="80">
        <v>0.164950980392157</v>
      </c>
      <c r="E85" s="80">
        <v>0.0164950980392157</v>
      </c>
      <c r="F85" s="81">
        <v>0.0193856209150327</v>
      </c>
      <c r="G85" s="81">
        <v>0.0337254901960784</v>
      </c>
    </row>
    <row r="86" ht="15.75" spans="1:7">
      <c r="A86" s="78" t="s">
        <v>185</v>
      </c>
      <c r="B86" s="74">
        <v>31.3</v>
      </c>
      <c r="C86" s="79">
        <f t="shared" si="1"/>
        <v>30.6</v>
      </c>
      <c r="D86" s="80">
        <v>0.183626198083067</v>
      </c>
      <c r="E86" s="80">
        <v>0.0183626198083067</v>
      </c>
      <c r="F86" s="81">
        <v>0.0211884984025559</v>
      </c>
      <c r="G86" s="81">
        <v>0.0352076677316294</v>
      </c>
    </row>
    <row r="87" ht="15.75" spans="1:7">
      <c r="A87" s="78" t="s">
        <v>186</v>
      </c>
      <c r="B87" s="74">
        <v>31.9</v>
      </c>
      <c r="C87" s="79">
        <f t="shared" si="1"/>
        <v>31.3</v>
      </c>
      <c r="D87" s="80">
        <v>0.198981191222571</v>
      </c>
      <c r="E87" s="80">
        <v>0.0198981191222571</v>
      </c>
      <c r="F87" s="81">
        <v>0.0226708463949843</v>
      </c>
      <c r="G87" s="81">
        <v>0.0364263322884013</v>
      </c>
    </row>
    <row r="88" ht="15.75" spans="1:7">
      <c r="A88" s="78" t="s">
        <v>187</v>
      </c>
      <c r="B88" s="74">
        <v>32.5</v>
      </c>
      <c r="C88" s="79">
        <f t="shared" si="1"/>
        <v>31.9</v>
      </c>
      <c r="D88" s="80">
        <v>0.213769230769231</v>
      </c>
      <c r="E88" s="80">
        <v>0.0213769230769231</v>
      </c>
      <c r="F88" s="81">
        <v>0.0240984615384615</v>
      </c>
      <c r="G88" s="81">
        <v>0.0376</v>
      </c>
    </row>
    <row r="89" ht="15.75" spans="1:7">
      <c r="A89" s="78" t="s">
        <v>188</v>
      </c>
      <c r="B89" s="74">
        <v>33.5</v>
      </c>
      <c r="C89" s="79">
        <f t="shared" si="1"/>
        <v>32.5</v>
      </c>
      <c r="D89" s="80">
        <v>0.237238805970149</v>
      </c>
      <c r="E89" s="80">
        <v>0.0237238805970149</v>
      </c>
      <c r="F89" s="81">
        <v>0.0263641791044776</v>
      </c>
      <c r="G89" s="81">
        <v>0.0394626865671642</v>
      </c>
    </row>
    <row r="90" ht="15.75" spans="1:7">
      <c r="A90" s="78" t="s">
        <v>189</v>
      </c>
      <c r="B90" s="74">
        <v>34.2</v>
      </c>
      <c r="C90" s="79">
        <f t="shared" si="1"/>
        <v>33.5</v>
      </c>
      <c r="D90" s="80">
        <v>0.252850877192983</v>
      </c>
      <c r="E90" s="80">
        <v>0.0252850877192983</v>
      </c>
      <c r="F90" s="81">
        <v>0.0278713450292398</v>
      </c>
      <c r="G90" s="81">
        <v>0.0442105263157895</v>
      </c>
    </row>
    <row r="91" ht="15.75" spans="1:7">
      <c r="A91" s="78" t="s">
        <v>190</v>
      </c>
      <c r="B91" s="74">
        <v>34.8</v>
      </c>
      <c r="C91" s="79">
        <f t="shared" si="1"/>
        <v>34.2</v>
      </c>
      <c r="D91" s="80">
        <v>0.26573275862069</v>
      </c>
      <c r="E91" s="80">
        <v>0.026573275862069</v>
      </c>
      <c r="F91" s="81">
        <v>0.0291149425287356</v>
      </c>
      <c r="G91" s="81">
        <v>0.0503448275862069</v>
      </c>
    </row>
    <row r="92" ht="15.75" spans="1:7">
      <c r="A92" s="78" t="s">
        <v>191</v>
      </c>
      <c r="B92" s="74">
        <v>35.5</v>
      </c>
      <c r="C92" s="79">
        <f t="shared" si="1"/>
        <v>34.8</v>
      </c>
      <c r="D92" s="80">
        <v>0.280211267605634</v>
      </c>
      <c r="E92" s="80">
        <v>0.0280211267605634</v>
      </c>
      <c r="F92" s="81">
        <v>0.030512676056338</v>
      </c>
      <c r="G92" s="81">
        <v>0.0572394366197184</v>
      </c>
    </row>
    <row r="93" ht="15.75" spans="1:7">
      <c r="A93" s="78" t="s">
        <v>192</v>
      </c>
      <c r="B93" s="74">
        <v>36.1</v>
      </c>
      <c r="C93" s="79">
        <f t="shared" si="1"/>
        <v>35.5</v>
      </c>
      <c r="D93" s="80">
        <v>0.292174515235457</v>
      </c>
      <c r="E93" s="80">
        <v>0.0292174515235457</v>
      </c>
      <c r="F93" s="81">
        <v>0.0316675900277008</v>
      </c>
      <c r="G93" s="81">
        <v>0.0629362880886427</v>
      </c>
    </row>
    <row r="94" ht="15.75" spans="1:7">
      <c r="A94" s="78" t="s">
        <v>193</v>
      </c>
      <c r="B94" s="74">
        <v>36.9</v>
      </c>
      <c r="C94" s="79">
        <f t="shared" si="1"/>
        <v>36.1</v>
      </c>
      <c r="D94" s="80">
        <v>0.307520325203252</v>
      </c>
      <c r="E94" s="80">
        <v>0.0307520325203252</v>
      </c>
      <c r="F94" s="81">
        <v>0.0331490514905149</v>
      </c>
      <c r="G94" s="81">
        <v>0.0702439024390244</v>
      </c>
    </row>
    <row r="95" ht="15.75" spans="1:7">
      <c r="A95" s="78" t="s">
        <v>194</v>
      </c>
      <c r="B95" s="74">
        <v>37.7</v>
      </c>
      <c r="C95" s="79">
        <f t="shared" si="1"/>
        <v>36.9</v>
      </c>
      <c r="D95" s="80">
        <v>0.322214854111406</v>
      </c>
      <c r="E95" s="80">
        <v>0.0322214854111406</v>
      </c>
      <c r="F95" s="81">
        <v>0.0345676392572944</v>
      </c>
      <c r="G95" s="81">
        <v>0.0772413793103449</v>
      </c>
    </row>
    <row r="96" ht="15.75" spans="1:7">
      <c r="A96" s="78" t="s">
        <v>195</v>
      </c>
      <c r="B96" s="74">
        <v>38.4</v>
      </c>
      <c r="C96" s="79">
        <f t="shared" si="1"/>
        <v>37.7</v>
      </c>
      <c r="D96" s="80">
        <v>0.3345703125</v>
      </c>
      <c r="E96" s="80">
        <v>0.03345703125</v>
      </c>
      <c r="F96" s="81">
        <v>0.0357604166666667</v>
      </c>
      <c r="G96" s="81">
        <v>0.083125</v>
      </c>
    </row>
    <row r="97" ht="15.75" spans="1:7">
      <c r="A97" s="78" t="s">
        <v>196</v>
      </c>
      <c r="B97" s="74">
        <v>39.3</v>
      </c>
      <c r="C97" s="79">
        <f t="shared" si="1"/>
        <v>38.4</v>
      </c>
      <c r="D97" s="80">
        <v>0.349809160305343</v>
      </c>
      <c r="E97" s="80">
        <v>0.0349809160305344</v>
      </c>
      <c r="F97" s="81">
        <v>0.0372315521628499</v>
      </c>
      <c r="G97" s="81">
        <v>0.090381679389313</v>
      </c>
    </row>
    <row r="98" ht="15.75" spans="1:7">
      <c r="A98" s="78" t="s">
        <v>197</v>
      </c>
      <c r="B98" s="74">
        <v>40</v>
      </c>
      <c r="C98" s="79">
        <f t="shared" si="1"/>
        <v>39.3</v>
      </c>
      <c r="D98" s="80">
        <v>0.3611875</v>
      </c>
      <c r="E98" s="80">
        <v>0.03611875</v>
      </c>
      <c r="F98" s="81">
        <v>0.03833</v>
      </c>
      <c r="G98" s="81">
        <v>0.0958</v>
      </c>
    </row>
    <row r="99" ht="15.75" spans="1:7">
      <c r="A99" s="78" t="s">
        <v>198</v>
      </c>
      <c r="B99" s="74">
        <v>41</v>
      </c>
      <c r="C99" s="79">
        <f t="shared" si="1"/>
        <v>40</v>
      </c>
      <c r="D99" s="80">
        <v>0.376768292682927</v>
      </c>
      <c r="E99" s="80">
        <v>0.0376768292682927</v>
      </c>
      <c r="F99" s="81">
        <v>0.0398341463414634</v>
      </c>
      <c r="G99" s="81">
        <v>0.103219512195122</v>
      </c>
    </row>
    <row r="100" ht="15.75" spans="1:7">
      <c r="A100" s="78" t="s">
        <v>199</v>
      </c>
      <c r="B100" s="74">
        <v>42.1</v>
      </c>
      <c r="C100" s="79">
        <f t="shared" si="1"/>
        <v>41</v>
      </c>
      <c r="D100" s="80">
        <v>0.393052256532067</v>
      </c>
      <c r="E100" s="80">
        <v>0.0393052256532067</v>
      </c>
      <c r="F100" s="81">
        <v>0.048437054631829</v>
      </c>
      <c r="G100" s="81">
        <v>0.110973871733967</v>
      </c>
    </row>
    <row r="101" ht="15.75" spans="1:11">
      <c r="A101" s="78" t="s">
        <v>200</v>
      </c>
      <c r="B101" s="74">
        <v>43.1</v>
      </c>
      <c r="C101" s="79">
        <f t="shared" si="1"/>
        <v>42.1</v>
      </c>
      <c r="D101" s="80">
        <v>0.407134570765661</v>
      </c>
      <c r="E101" s="80">
        <v>0.0442807424593968</v>
      </c>
      <c r="F101" s="81">
        <v>0.0565939675174014</v>
      </c>
      <c r="G101" s="81">
        <v>0.117679814385151</v>
      </c>
      <c r="H101">
        <f>B101*(1-E101)</f>
        <v>41.1915</v>
      </c>
      <c r="J101">
        <v>1.02</v>
      </c>
      <c r="K101">
        <f>J101^3</f>
        <v>1.061208</v>
      </c>
    </row>
    <row r="102" ht="15.75" spans="1:8">
      <c r="A102" s="78" t="s">
        <v>201</v>
      </c>
      <c r="B102" s="74">
        <v>44.2</v>
      </c>
      <c r="C102" s="79">
        <f t="shared" si="1"/>
        <v>43.1</v>
      </c>
      <c r="D102" s="80">
        <v>0.421889140271493</v>
      </c>
      <c r="E102" s="80">
        <v>0.053133484162896</v>
      </c>
      <c r="F102" s="81">
        <v>0.0651402714932127</v>
      </c>
      <c r="G102" s="81">
        <v>0.124705882352941</v>
      </c>
      <c r="H102">
        <f>B102*(1-E102)</f>
        <v>41.8515</v>
      </c>
    </row>
    <row r="103" ht="15.75" spans="1:7">
      <c r="A103" s="78" t="s">
        <v>202</v>
      </c>
      <c r="B103" s="74">
        <v>45.1</v>
      </c>
      <c r="C103" s="79">
        <f t="shared" si="1"/>
        <v>44.2</v>
      </c>
      <c r="D103" s="80">
        <v>0.433425720620843</v>
      </c>
      <c r="E103" s="80">
        <v>0.0600554323725056</v>
      </c>
      <c r="F103" s="81">
        <v>0.0718226164079823</v>
      </c>
      <c r="G103" s="81">
        <v>0.13019955654102</v>
      </c>
    </row>
    <row r="104" ht="15.75" spans="1:8">
      <c r="A104" s="78" t="s">
        <v>203</v>
      </c>
      <c r="B104" s="74">
        <v>46.3</v>
      </c>
      <c r="C104" s="79">
        <f t="shared" si="1"/>
        <v>45.1</v>
      </c>
      <c r="D104" s="80">
        <v>0.448110151187905</v>
      </c>
      <c r="E104" s="80">
        <v>0.068866090712743</v>
      </c>
      <c r="F104" s="81">
        <v>0.080328293736501</v>
      </c>
      <c r="G104" s="81">
        <v>0.13719222462203</v>
      </c>
      <c r="H104">
        <f>B104*(1-E104)</f>
        <v>43.1115</v>
      </c>
    </row>
    <row r="105" ht="15.75" spans="1:7">
      <c r="A105" s="78" t="s">
        <v>204</v>
      </c>
      <c r="B105" s="74">
        <v>47</v>
      </c>
      <c r="C105" s="79">
        <f t="shared" si="1"/>
        <v>46.3</v>
      </c>
      <c r="D105" s="80">
        <v>0.456329787234043</v>
      </c>
      <c r="E105" s="80">
        <v>0.0737978723404255</v>
      </c>
      <c r="F105" s="81">
        <v>0.0850893617021276</v>
      </c>
      <c r="G105" s="81">
        <v>0.141106382978723</v>
      </c>
    </row>
    <row r="106" ht="15.75" spans="1:7">
      <c r="A106" s="78" t="s">
        <v>205</v>
      </c>
      <c r="B106" s="74">
        <v>48.7</v>
      </c>
      <c r="C106" s="79">
        <f t="shared" si="1"/>
        <v>47</v>
      </c>
      <c r="D106" s="80">
        <v>0.475308008213552</v>
      </c>
      <c r="E106" s="80">
        <v>0.0851848049281314</v>
      </c>
      <c r="F106" s="81">
        <v>0.096082135523614</v>
      </c>
      <c r="G106" s="81">
        <v>0.150143737166324</v>
      </c>
    </row>
    <row r="107" ht="15.75" spans="1:7">
      <c r="A107" s="78" t="s">
        <v>206</v>
      </c>
      <c r="B107" s="74">
        <v>49.7</v>
      </c>
      <c r="C107" s="79">
        <f t="shared" si="1"/>
        <v>48.7</v>
      </c>
      <c r="D107" s="80">
        <v>0.485865191146881</v>
      </c>
      <c r="E107" s="80">
        <v>0.0915191146881288</v>
      </c>
      <c r="F107" s="81">
        <v>0.102197183098592</v>
      </c>
      <c r="G107" s="81">
        <v>0.155171026156942</v>
      </c>
    </row>
    <row r="108" ht="15.75" spans="1:8">
      <c r="A108" s="78" t="s">
        <v>207</v>
      </c>
      <c r="B108" s="74">
        <v>51.8</v>
      </c>
      <c r="C108" s="79">
        <f t="shared" si="1"/>
        <v>49.7</v>
      </c>
      <c r="D108" s="80">
        <v>0.506708494208494</v>
      </c>
      <c r="E108" s="80">
        <v>0.104025096525097</v>
      </c>
      <c r="F108" s="81">
        <v>0.11427027027027</v>
      </c>
      <c r="G108" s="81">
        <v>0.165096525096525</v>
      </c>
      <c r="H108">
        <f>B108*(1-E108)</f>
        <v>46.4115</v>
      </c>
    </row>
    <row r="109" ht="15.75" spans="1:7">
      <c r="A109" s="78" t="s">
        <v>208</v>
      </c>
      <c r="B109" s="74">
        <v>53.1</v>
      </c>
      <c r="C109" s="79">
        <f t="shared" si="1"/>
        <v>51.8</v>
      </c>
      <c r="D109" s="80">
        <v>0.518785310734463</v>
      </c>
      <c r="E109" s="80">
        <v>0.111271186440678</v>
      </c>
      <c r="F109" s="81">
        <v>0.121265536723164</v>
      </c>
      <c r="G109" s="81">
        <v>0.170847457627119</v>
      </c>
    </row>
    <row r="110" ht="15.75" spans="1:7">
      <c r="A110" s="78" t="s">
        <v>209</v>
      </c>
      <c r="B110" s="74">
        <v>54.7</v>
      </c>
      <c r="C110" s="79">
        <f t="shared" si="1"/>
        <v>53.1</v>
      </c>
      <c r="D110" s="80">
        <v>0.532861060329068</v>
      </c>
      <c r="E110" s="80">
        <v>0.119716636197441</v>
      </c>
      <c r="F110" s="81">
        <v>0.129418647166362</v>
      </c>
      <c r="G110" s="81">
        <v>0.177550274223035</v>
      </c>
    </row>
    <row r="111" ht="15.75" spans="1:7">
      <c r="A111" s="78" t="s">
        <v>210</v>
      </c>
      <c r="B111" s="74">
        <v>56.5</v>
      </c>
      <c r="C111" s="79">
        <f t="shared" si="1"/>
        <v>54.7</v>
      </c>
      <c r="D111" s="80">
        <v>0.547743362831858</v>
      </c>
      <c r="E111" s="80">
        <v>0.128646017699115</v>
      </c>
      <c r="F111" s="81">
        <v>0.138038938053097</v>
      </c>
      <c r="G111" s="81">
        <v>0.184637168141593</v>
      </c>
    </row>
    <row r="112" ht="15.75" spans="1:7">
      <c r="A112" s="78" t="s">
        <v>211</v>
      </c>
      <c r="B112" s="74">
        <v>58.5</v>
      </c>
      <c r="C112" s="79">
        <f t="shared" si="1"/>
        <v>56.5</v>
      </c>
      <c r="D112" s="80">
        <v>0.563205128205128</v>
      </c>
      <c r="E112" s="80">
        <v>0.137923076923077</v>
      </c>
      <c r="F112" s="81">
        <v>0.146994871794872</v>
      </c>
      <c r="G112" s="81">
        <v>0.192</v>
      </c>
    </row>
    <row r="113" ht="15.75" spans="1:7">
      <c r="A113" s="78" t="s">
        <v>212</v>
      </c>
      <c r="B113" s="74">
        <v>60.8</v>
      </c>
      <c r="C113" s="79">
        <f t="shared" si="1"/>
        <v>58.5</v>
      </c>
      <c r="D113" s="80">
        <v>0.579728618421053</v>
      </c>
      <c r="E113" s="80">
        <v>0.147837171052632</v>
      </c>
      <c r="F113" s="81">
        <v>0.156565789473684</v>
      </c>
      <c r="G113" s="81">
        <v>0.199868421052632</v>
      </c>
    </row>
    <row r="114" ht="15.75" spans="1:8">
      <c r="A114" s="78" t="s">
        <v>213</v>
      </c>
      <c r="B114" s="74">
        <v>63.4</v>
      </c>
      <c r="C114" s="79">
        <f t="shared" si="1"/>
        <v>60.8</v>
      </c>
      <c r="D114" s="80">
        <v>0.596963722397476</v>
      </c>
      <c r="E114" s="80">
        <v>0.158178233438486</v>
      </c>
      <c r="F114" s="81">
        <v>0.166548895899054</v>
      </c>
      <c r="G114" s="81">
        <v>0.20807570977918</v>
      </c>
      <c r="H114">
        <f>B114*(1-E114)</f>
        <v>53.3715</v>
      </c>
    </row>
    <row r="115" ht="15.75" spans="1:7">
      <c r="A115" s="78" t="s">
        <v>214</v>
      </c>
      <c r="B115" s="74">
        <v>66.5</v>
      </c>
      <c r="C115" s="79">
        <f t="shared" si="1"/>
        <v>63.4</v>
      </c>
      <c r="D115" s="80">
        <v>0.615751879699248</v>
      </c>
      <c r="E115" s="80">
        <v>0.169451127819549</v>
      </c>
      <c r="F115" s="81">
        <v>0.177431578947368</v>
      </c>
      <c r="G115" s="81">
        <v>0.217022556390977</v>
      </c>
    </row>
    <row r="116" ht="15.75" spans="1:7">
      <c r="A116" s="78" t="s">
        <v>215</v>
      </c>
      <c r="B116" s="74">
        <v>70.9</v>
      </c>
      <c r="C116" s="79">
        <f t="shared" si="1"/>
        <v>66.5</v>
      </c>
      <c r="D116" s="80">
        <v>0.63959802538787</v>
      </c>
      <c r="E116" s="80">
        <v>0.183758815232722</v>
      </c>
      <c r="F116" s="81">
        <v>0.191244005641749</v>
      </c>
      <c r="G116" s="81">
        <v>0.228377997179126</v>
      </c>
    </row>
    <row r="117" ht="15.75" spans="1:7">
      <c r="A117" s="78" t="s">
        <v>216</v>
      </c>
      <c r="B117" s="74">
        <v>76.3</v>
      </c>
      <c r="C117" s="79">
        <f t="shared" si="1"/>
        <v>70.9</v>
      </c>
      <c r="D117" s="80">
        <v>0.665104849279161</v>
      </c>
      <c r="E117" s="80">
        <v>0.199062909567497</v>
      </c>
      <c r="F117" s="81">
        <v>0.206018348623853</v>
      </c>
      <c r="G117" s="81">
        <v>0.240524246395806</v>
      </c>
    </row>
    <row r="118" ht="15.75" spans="1:7">
      <c r="A118" s="78" t="s">
        <v>217</v>
      </c>
      <c r="B118" s="74">
        <v>83.5</v>
      </c>
      <c r="C118" s="79">
        <f t="shared" si="1"/>
        <v>76.3</v>
      </c>
      <c r="D118" s="80">
        <v>0.693982035928144</v>
      </c>
      <c r="E118" s="80">
        <v>0.216389221556886</v>
      </c>
      <c r="F118" s="81">
        <v>0.222744910179641</v>
      </c>
      <c r="G118" s="81">
        <v>0.254275449101796</v>
      </c>
    </row>
    <row r="119" ht="15.75" spans="1:8">
      <c r="A119" s="78" t="s">
        <v>218</v>
      </c>
      <c r="B119" s="74">
        <v>94.9</v>
      </c>
      <c r="C119" s="79">
        <f t="shared" si="1"/>
        <v>83.5</v>
      </c>
      <c r="D119" s="80">
        <v>0.730742887249737</v>
      </c>
      <c r="E119" s="80">
        <v>0.238445732349842</v>
      </c>
      <c r="F119" s="81">
        <v>0.244037934668072</v>
      </c>
      <c r="G119" s="81">
        <v>0.271780821917808</v>
      </c>
      <c r="H119">
        <f>B119*(1-E119)</f>
        <v>72.2715</v>
      </c>
    </row>
    <row r="120" ht="15.75" spans="1:7">
      <c r="A120" s="78" t="s">
        <v>219</v>
      </c>
      <c r="B120" s="74">
        <v>110.6</v>
      </c>
      <c r="C120" s="79">
        <f t="shared" si="1"/>
        <v>94.9</v>
      </c>
      <c r="D120" s="80">
        <v>0.768964737793852</v>
      </c>
      <c r="E120" s="80">
        <v>0.261378842676311</v>
      </c>
      <c r="F120" s="81">
        <v>0.266177215189873</v>
      </c>
      <c r="G120" s="81">
        <v>0.28998191681736</v>
      </c>
    </row>
    <row r="121" ht="15.75" spans="1:7">
      <c r="A121" s="78" t="s">
        <v>220</v>
      </c>
      <c r="B121" s="74">
        <v>152.4</v>
      </c>
      <c r="C121" s="79">
        <f t="shared" si="1"/>
        <v>110.6</v>
      </c>
      <c r="D121" s="80">
        <v>0.832332677165354</v>
      </c>
      <c r="E121" s="80">
        <v>0.299399606299213</v>
      </c>
      <c r="F121" s="81">
        <v>0.30288188976378</v>
      </c>
      <c r="G121" s="81">
        <v>0.320157480314961</v>
      </c>
    </row>
    <row r="122" ht="15.75" spans="1:7">
      <c r="A122" s="78" t="s">
        <v>221</v>
      </c>
      <c r="B122" s="286">
        <v>263.8</v>
      </c>
      <c r="C122" s="79">
        <f t="shared" si="1"/>
        <v>152.4</v>
      </c>
      <c r="D122" s="80">
        <v>0.903136846095527</v>
      </c>
      <c r="E122" s="80">
        <v>0.341882107657316</v>
      </c>
      <c r="F122" s="81">
        <v>0.343893858984079</v>
      </c>
      <c r="G122" s="81">
        <v>0.353874147081122</v>
      </c>
    </row>
    <row r="123" ht="15.75" spans="1:7">
      <c r="A123" s="78" t="s">
        <v>221</v>
      </c>
      <c r="B123" s="116" t="s">
        <v>384</v>
      </c>
      <c r="C123" s="79">
        <f t="shared" si="1"/>
        <v>263.8</v>
      </c>
      <c r="D123" s="83" t="s">
        <v>232</v>
      </c>
      <c r="E123" s="83"/>
      <c r="F123" s="84"/>
      <c r="G123" s="84"/>
    </row>
    <row r="124" spans="1:7">
      <c r="A124" s="78"/>
      <c r="B124" s="78"/>
      <c r="C124" s="78"/>
      <c r="D124" s="83"/>
      <c r="E124" s="85">
        <v>0.0758936209560657</v>
      </c>
      <c r="F124" s="86">
        <v>0.0810224820422878</v>
      </c>
      <c r="G124" s="86">
        <v>0.113215891518476</v>
      </c>
    </row>
    <row r="125" ht="48.75" spans="1:7">
      <c r="A125" s="87" t="s">
        <v>233</v>
      </c>
      <c r="B125" s="116">
        <v>33.8</v>
      </c>
      <c r="C125" s="78"/>
      <c r="D125" s="83"/>
      <c r="E125" s="127">
        <v>42.5875</v>
      </c>
      <c r="F125" s="128">
        <v>41.1133333333333</v>
      </c>
      <c r="G125" s="129">
        <v>33.8</v>
      </c>
    </row>
    <row r="126" ht="48.75" spans="1:7">
      <c r="A126" s="87" t="s">
        <v>224</v>
      </c>
      <c r="B126" s="116">
        <v>46.6</v>
      </c>
      <c r="C126" s="78"/>
      <c r="D126" s="83"/>
      <c r="E126" s="83"/>
      <c r="F126" s="84"/>
      <c r="G126" s="84"/>
    </row>
    <row r="127" ht="84.75" spans="1:7">
      <c r="A127" s="106" t="s">
        <v>225</v>
      </c>
      <c r="B127" s="116">
        <v>20.28</v>
      </c>
      <c r="C127" s="78"/>
      <c r="D127" s="83"/>
      <c r="E127" s="83">
        <v>25.5525</v>
      </c>
      <c r="F127" s="84">
        <v>24.668</v>
      </c>
      <c r="G127" s="84">
        <v>20.28</v>
      </c>
    </row>
    <row r="129" ht="48.75" spans="1:2">
      <c r="A129" s="256" t="s">
        <v>224</v>
      </c>
      <c r="B129">
        <f>B126</f>
        <v>46.6</v>
      </c>
    </row>
    <row r="130" spans="1:3">
      <c r="A130" s="531" t="s">
        <v>226</v>
      </c>
      <c r="B130" s="95">
        <f>AVERAGE(B78:B117)</f>
        <v>42.5875</v>
      </c>
      <c r="C130" s="95"/>
    </row>
    <row r="131" spans="1:3">
      <c r="A131" s="531" t="s">
        <v>227</v>
      </c>
      <c r="B131" s="96">
        <f>AVERAGE(B83:B112)</f>
        <v>41.1133333333333</v>
      </c>
      <c r="C131" s="96"/>
    </row>
    <row r="132" spans="1:3">
      <c r="A132" s="531" t="s">
        <v>228</v>
      </c>
      <c r="B132" s="96">
        <f>AVERAGE(B89:B107)</f>
        <v>40.7157894736842</v>
      </c>
      <c r="C132" s="96"/>
    </row>
    <row r="133" ht="15.75"/>
    <row r="134" ht="15.75" spans="1:7">
      <c r="A134" s="252" t="s">
        <v>165</v>
      </c>
      <c r="B134" s="67" t="s">
        <v>347</v>
      </c>
      <c r="C134" s="68"/>
      <c r="D134" s="69"/>
      <c r="E134" s="70">
        <f>(1-E189)^(1/3)-1</f>
        <v>-0.0305573506593023</v>
      </c>
      <c r="F134" s="70">
        <f>(1-F189)^(1/3)-1</f>
        <v>-0.0354704041021543</v>
      </c>
      <c r="G134" s="70"/>
    </row>
    <row r="135" ht="72.75" spans="1:7">
      <c r="A135" s="253"/>
      <c r="B135" s="72" t="s">
        <v>167</v>
      </c>
      <c r="C135" s="107"/>
      <c r="D135" s="83" t="s">
        <v>168</v>
      </c>
      <c r="E135" s="83" t="s">
        <v>169</v>
      </c>
      <c r="F135" s="84" t="s">
        <v>169</v>
      </c>
      <c r="G135" s="84"/>
    </row>
    <row r="136" ht="24.75" spans="1:7">
      <c r="A136" s="254"/>
      <c r="B136" s="72" t="s">
        <v>235</v>
      </c>
      <c r="C136" s="107"/>
      <c r="D136" s="83" t="s">
        <v>171</v>
      </c>
      <c r="E136" s="83" t="s">
        <v>171</v>
      </c>
      <c r="F136" s="84" t="s">
        <v>171</v>
      </c>
      <c r="G136" s="84"/>
    </row>
    <row r="137" ht="15.75" spans="1:7">
      <c r="A137" s="75">
        <v>1</v>
      </c>
      <c r="B137" s="76">
        <v>2</v>
      </c>
      <c r="C137" s="76"/>
      <c r="D137" s="76">
        <v>3</v>
      </c>
      <c r="E137" s="76">
        <v>4</v>
      </c>
      <c r="F137" s="77">
        <v>5</v>
      </c>
      <c r="G137" s="77"/>
    </row>
    <row r="138" ht="15.75" spans="1:7">
      <c r="A138" s="533" t="s">
        <v>172</v>
      </c>
      <c r="B138" s="272">
        <v>0.12</v>
      </c>
      <c r="C138" s="112">
        <v>0</v>
      </c>
      <c r="D138" s="80">
        <v>0</v>
      </c>
      <c r="E138" s="80">
        <v>0</v>
      </c>
      <c r="F138" s="81">
        <v>0</v>
      </c>
      <c r="G138" s="81">
        <v>0</v>
      </c>
    </row>
    <row r="139" ht="15.75" spans="1:7">
      <c r="A139" s="533" t="s">
        <v>173</v>
      </c>
      <c r="B139" s="74">
        <v>0.14</v>
      </c>
      <c r="C139" s="79">
        <f>B138</f>
        <v>0.12</v>
      </c>
      <c r="D139" s="80">
        <v>0</v>
      </c>
      <c r="E139" s="80">
        <v>0</v>
      </c>
      <c r="F139" s="81">
        <v>0</v>
      </c>
      <c r="G139" s="81">
        <v>0</v>
      </c>
    </row>
    <row r="140" ht="15.75" spans="1:7">
      <c r="A140" s="533" t="s">
        <v>174</v>
      </c>
      <c r="B140" s="74">
        <v>0.18</v>
      </c>
      <c r="C140" s="79">
        <f t="shared" ref="C140:C188" si="2">B139</f>
        <v>0.14</v>
      </c>
      <c r="D140" s="80">
        <v>0</v>
      </c>
      <c r="E140" s="80">
        <v>0</v>
      </c>
      <c r="F140" s="81">
        <v>0</v>
      </c>
      <c r="G140" s="81">
        <v>0</v>
      </c>
    </row>
    <row r="141" ht="15.75" spans="1:7">
      <c r="A141" s="533" t="s">
        <v>175</v>
      </c>
      <c r="B141" s="74">
        <v>0.21</v>
      </c>
      <c r="C141" s="79">
        <f t="shared" si="2"/>
        <v>0.18</v>
      </c>
      <c r="D141" s="80">
        <v>0</v>
      </c>
      <c r="E141" s="80">
        <v>0</v>
      </c>
      <c r="F141" s="81">
        <v>0</v>
      </c>
      <c r="G141" s="81">
        <v>0</v>
      </c>
    </row>
    <row r="142" ht="15.75" spans="1:7">
      <c r="A142" s="533" t="s">
        <v>176</v>
      </c>
      <c r="B142" s="74">
        <v>0.26</v>
      </c>
      <c r="C142" s="79">
        <f t="shared" si="2"/>
        <v>0.21</v>
      </c>
      <c r="D142" s="80">
        <v>0</v>
      </c>
      <c r="E142" s="80">
        <v>0</v>
      </c>
      <c r="F142" s="81">
        <v>0</v>
      </c>
      <c r="G142" s="81">
        <v>0</v>
      </c>
    </row>
    <row r="143" ht="15.75" spans="1:7">
      <c r="A143" s="533" t="s">
        <v>177</v>
      </c>
      <c r="B143" s="74">
        <v>0.32</v>
      </c>
      <c r="C143" s="79">
        <f t="shared" si="2"/>
        <v>0.26</v>
      </c>
      <c r="D143" s="80">
        <v>0</v>
      </c>
      <c r="E143" s="80">
        <v>0</v>
      </c>
      <c r="F143" s="81">
        <v>0</v>
      </c>
      <c r="G143" s="81">
        <v>0</v>
      </c>
    </row>
    <row r="144" ht="15.75" spans="1:7">
      <c r="A144" s="533" t="s">
        <v>178</v>
      </c>
      <c r="B144" s="74">
        <v>0.35</v>
      </c>
      <c r="C144" s="79">
        <f t="shared" si="2"/>
        <v>0.32</v>
      </c>
      <c r="D144" s="80">
        <v>0</v>
      </c>
      <c r="E144" s="80">
        <v>0</v>
      </c>
      <c r="F144" s="81">
        <v>0</v>
      </c>
      <c r="G144" s="81">
        <v>0</v>
      </c>
    </row>
    <row r="145" ht="15.75" spans="1:7">
      <c r="A145" s="257" t="s">
        <v>179</v>
      </c>
      <c r="B145" s="74">
        <v>0.37</v>
      </c>
      <c r="C145" s="79">
        <f t="shared" si="2"/>
        <v>0.35</v>
      </c>
      <c r="D145" s="80">
        <v>0</v>
      </c>
      <c r="E145" s="80">
        <v>0</v>
      </c>
      <c r="F145" s="81">
        <v>0</v>
      </c>
      <c r="G145" s="81">
        <v>0</v>
      </c>
    </row>
    <row r="146" ht="15.75" spans="1:7">
      <c r="A146" s="257" t="s">
        <v>180</v>
      </c>
      <c r="B146" s="74">
        <v>0.39</v>
      </c>
      <c r="C146" s="79">
        <f t="shared" si="2"/>
        <v>0.37</v>
      </c>
      <c r="D146" s="80">
        <v>0</v>
      </c>
      <c r="E146" s="80">
        <v>0</v>
      </c>
      <c r="F146" s="81">
        <v>0</v>
      </c>
      <c r="G146" s="81">
        <v>0</v>
      </c>
    </row>
    <row r="147" ht="15.75" spans="1:7">
      <c r="A147" s="257" t="s">
        <v>181</v>
      </c>
      <c r="B147" s="74">
        <v>0.42</v>
      </c>
      <c r="C147" s="79">
        <f t="shared" si="2"/>
        <v>0.39</v>
      </c>
      <c r="D147" s="80">
        <v>0</v>
      </c>
      <c r="E147" s="80">
        <v>0</v>
      </c>
      <c r="F147" s="81">
        <v>0</v>
      </c>
      <c r="G147" s="81">
        <v>0</v>
      </c>
    </row>
    <row r="148" ht="15.75" spans="1:7">
      <c r="A148" s="257" t="s">
        <v>182</v>
      </c>
      <c r="B148" s="74">
        <v>0.52</v>
      </c>
      <c r="C148" s="79">
        <f t="shared" si="2"/>
        <v>0.42</v>
      </c>
      <c r="D148" s="80">
        <v>0</v>
      </c>
      <c r="E148" s="80">
        <v>0</v>
      </c>
      <c r="F148" s="81">
        <v>0</v>
      </c>
      <c r="G148" s="81">
        <v>0</v>
      </c>
    </row>
    <row r="149" ht="15.75" spans="1:7">
      <c r="A149" s="257" t="s">
        <v>183</v>
      </c>
      <c r="B149" s="74">
        <v>0.58</v>
      </c>
      <c r="C149" s="79">
        <f t="shared" si="2"/>
        <v>0.52</v>
      </c>
      <c r="D149" s="80">
        <v>0</v>
      </c>
      <c r="E149" s="80">
        <v>0</v>
      </c>
      <c r="F149" s="81">
        <v>0</v>
      </c>
      <c r="G149" s="81">
        <v>0</v>
      </c>
    </row>
    <row r="150" ht="15.75" spans="1:7">
      <c r="A150" s="257" t="s">
        <v>184</v>
      </c>
      <c r="B150" s="74">
        <v>0.64</v>
      </c>
      <c r="C150" s="79">
        <f t="shared" si="2"/>
        <v>0.58</v>
      </c>
      <c r="D150" s="80">
        <v>0</v>
      </c>
      <c r="E150" s="80">
        <v>0</v>
      </c>
      <c r="F150" s="81">
        <v>0</v>
      </c>
      <c r="G150" s="81">
        <v>0</v>
      </c>
    </row>
    <row r="151" ht="15.75" spans="1:7">
      <c r="A151" s="257" t="s">
        <v>185</v>
      </c>
      <c r="B151" s="74">
        <v>0.68</v>
      </c>
      <c r="C151" s="79">
        <f t="shared" si="2"/>
        <v>0.64</v>
      </c>
      <c r="D151" s="80">
        <v>0</v>
      </c>
      <c r="E151" s="80">
        <v>0</v>
      </c>
      <c r="F151" s="81">
        <v>0</v>
      </c>
      <c r="G151" s="81">
        <v>0</v>
      </c>
    </row>
    <row r="152" ht="15.75" spans="1:7">
      <c r="A152" s="257" t="s">
        <v>186</v>
      </c>
      <c r="B152" s="74">
        <v>0.72</v>
      </c>
      <c r="C152" s="79">
        <f t="shared" si="2"/>
        <v>0.68</v>
      </c>
      <c r="D152" s="80">
        <v>0</v>
      </c>
      <c r="E152" s="80">
        <v>0</v>
      </c>
      <c r="F152" s="81">
        <v>0</v>
      </c>
      <c r="G152" s="81">
        <v>0</v>
      </c>
    </row>
    <row r="153" ht="15.75" spans="1:7">
      <c r="A153" s="257" t="s">
        <v>187</v>
      </c>
      <c r="B153" s="74">
        <v>0.78</v>
      </c>
      <c r="C153" s="79">
        <f t="shared" si="2"/>
        <v>0.72</v>
      </c>
      <c r="D153" s="80">
        <v>0</v>
      </c>
      <c r="E153" s="80">
        <v>0</v>
      </c>
      <c r="F153" s="81">
        <v>0</v>
      </c>
      <c r="G153" s="81">
        <v>0</v>
      </c>
    </row>
    <row r="154" ht="15.75" spans="1:7">
      <c r="A154" s="257" t="s">
        <v>188</v>
      </c>
      <c r="B154" s="74">
        <v>0.86</v>
      </c>
      <c r="C154" s="79">
        <f t="shared" si="2"/>
        <v>0.78</v>
      </c>
      <c r="D154" s="80">
        <v>0</v>
      </c>
      <c r="E154" s="80">
        <v>0</v>
      </c>
      <c r="F154" s="81">
        <v>0</v>
      </c>
      <c r="G154" s="81">
        <v>0</v>
      </c>
    </row>
    <row r="155" ht="15.75" spans="1:7">
      <c r="A155" s="257" t="s">
        <v>189</v>
      </c>
      <c r="B155" s="74">
        <v>0.9</v>
      </c>
      <c r="C155" s="79">
        <f t="shared" si="2"/>
        <v>0.86</v>
      </c>
      <c r="D155" s="80">
        <v>0</v>
      </c>
      <c r="E155" s="80">
        <v>0</v>
      </c>
      <c r="F155" s="81">
        <v>0.000911111111111109</v>
      </c>
      <c r="G155" s="81">
        <v>0</v>
      </c>
    </row>
    <row r="156" ht="15.75" spans="1:7">
      <c r="A156" s="257" t="s">
        <v>190</v>
      </c>
      <c r="B156" s="74">
        <v>0.94</v>
      </c>
      <c r="C156" s="79">
        <f t="shared" si="2"/>
        <v>0.9</v>
      </c>
      <c r="D156" s="80">
        <v>0</v>
      </c>
      <c r="E156" s="80">
        <v>0</v>
      </c>
      <c r="F156" s="81">
        <v>0.00512765957446808</v>
      </c>
      <c r="G156" s="81">
        <v>0</v>
      </c>
    </row>
    <row r="157" ht="15.75" spans="1:7">
      <c r="A157" s="257" t="s">
        <v>191</v>
      </c>
      <c r="B157" s="74">
        <v>0.99</v>
      </c>
      <c r="C157" s="79">
        <f t="shared" si="2"/>
        <v>0.94</v>
      </c>
      <c r="D157" s="80">
        <v>0</v>
      </c>
      <c r="E157" s="80">
        <v>0</v>
      </c>
      <c r="F157" s="81">
        <v>0.00991919191919191</v>
      </c>
      <c r="G157" s="81">
        <v>0</v>
      </c>
    </row>
    <row r="158" ht="15.75" spans="1:7">
      <c r="A158" s="257" t="s">
        <v>192</v>
      </c>
      <c r="B158" s="74">
        <v>1.04</v>
      </c>
      <c r="C158" s="79">
        <f t="shared" si="2"/>
        <v>0.99</v>
      </c>
      <c r="D158" s="80">
        <v>0.00437500000000005</v>
      </c>
      <c r="E158" s="80">
        <v>0.000437500000000005</v>
      </c>
      <c r="F158" s="81">
        <v>0.01425</v>
      </c>
      <c r="G158" s="81">
        <v>0</v>
      </c>
    </row>
    <row r="159" ht="15.75" spans="1:7">
      <c r="A159" s="257" t="s">
        <v>193</v>
      </c>
      <c r="B159" s="74">
        <v>1.09</v>
      </c>
      <c r="C159" s="79">
        <f t="shared" si="2"/>
        <v>1.04</v>
      </c>
      <c r="D159" s="80">
        <v>0.0500458715596331</v>
      </c>
      <c r="E159" s="80"/>
      <c r="F159" s="81">
        <v>0.0181834862385321</v>
      </c>
      <c r="G159" s="81">
        <v>0</v>
      </c>
    </row>
    <row r="160" ht="15.75" spans="1:7">
      <c r="A160" s="257" t="s">
        <v>194</v>
      </c>
      <c r="B160" s="74">
        <v>1.12</v>
      </c>
      <c r="C160" s="79">
        <f t="shared" si="2"/>
        <v>1.09</v>
      </c>
      <c r="D160" s="80">
        <v>0.0754910714285715</v>
      </c>
      <c r="E160" s="80"/>
      <c r="F160" s="81">
        <v>0.020375</v>
      </c>
      <c r="G160" s="81">
        <v>0</v>
      </c>
    </row>
    <row r="161" ht="15.75" spans="1:7">
      <c r="A161" s="257" t="s">
        <v>195</v>
      </c>
      <c r="B161" s="74">
        <v>1.19</v>
      </c>
      <c r="C161" s="79">
        <f t="shared" si="2"/>
        <v>1.12</v>
      </c>
      <c r="D161" s="80">
        <v>0.129873949579832</v>
      </c>
      <c r="E161" s="80">
        <v>0.0129873949579832</v>
      </c>
      <c r="F161" s="81">
        <v>0.0250588235294118</v>
      </c>
      <c r="G161" s="81">
        <v>0</v>
      </c>
    </row>
    <row r="162" ht="15.75" spans="1:7">
      <c r="A162" s="257" t="s">
        <v>196</v>
      </c>
      <c r="B162" s="74">
        <v>1.28</v>
      </c>
      <c r="C162" s="79">
        <f t="shared" si="2"/>
        <v>1.19</v>
      </c>
      <c r="D162" s="80">
        <v>0.1910546875</v>
      </c>
      <c r="E162" s="80">
        <v>0.01910546875</v>
      </c>
      <c r="F162" s="81">
        <v>0.030328125</v>
      </c>
      <c r="G162" s="81">
        <v>0</v>
      </c>
    </row>
    <row r="163" ht="15.75" spans="1:7">
      <c r="A163" s="257" t="s">
        <v>197</v>
      </c>
      <c r="B163" s="74">
        <v>1.34</v>
      </c>
      <c r="C163" s="79">
        <f t="shared" si="2"/>
        <v>1.28</v>
      </c>
      <c r="D163" s="80">
        <v>0.227276119402985</v>
      </c>
      <c r="E163" s="80">
        <v>0.0227276119402985</v>
      </c>
      <c r="F163" s="81">
        <v>0.0334477611940299</v>
      </c>
      <c r="G163" s="81">
        <v>0</v>
      </c>
    </row>
    <row r="164" ht="15.75" spans="1:7">
      <c r="A164" s="257" t="s">
        <v>198</v>
      </c>
      <c r="B164" s="74">
        <v>1.43</v>
      </c>
      <c r="C164" s="79">
        <f t="shared" si="2"/>
        <v>1.34</v>
      </c>
      <c r="D164" s="80">
        <v>0.275909090909091</v>
      </c>
      <c r="E164" s="80">
        <v>0.0275909090909091</v>
      </c>
      <c r="F164" s="81">
        <v>0.0376363636363636</v>
      </c>
      <c r="G164" s="81">
        <v>0</v>
      </c>
    </row>
    <row r="165" ht="15.75" spans="1:7">
      <c r="A165" s="257" t="s">
        <v>199</v>
      </c>
      <c r="B165" s="74">
        <v>1.47</v>
      </c>
      <c r="C165" s="79">
        <f t="shared" si="2"/>
        <v>1.43</v>
      </c>
      <c r="D165" s="80">
        <v>0.295612244897959</v>
      </c>
      <c r="E165" s="80">
        <v>0.0295612244897959</v>
      </c>
      <c r="F165" s="81">
        <v>0.0393333333333333</v>
      </c>
      <c r="G165" s="81">
        <v>0.00204081632653061</v>
      </c>
    </row>
    <row r="166" ht="15.75" spans="1:7">
      <c r="A166" s="257" t="s">
        <v>200</v>
      </c>
      <c r="B166" s="74">
        <v>1.55</v>
      </c>
      <c r="C166" s="79">
        <f t="shared" si="2"/>
        <v>1.47</v>
      </c>
      <c r="D166" s="80">
        <v>0.331967741935484</v>
      </c>
      <c r="E166" s="80">
        <v>0.0331967741935484</v>
      </c>
      <c r="F166" s="81">
        <v>0.0547870967741935</v>
      </c>
      <c r="G166" s="81">
        <v>0.00709677419354839</v>
      </c>
    </row>
    <row r="167" ht="15.75" spans="1:7">
      <c r="A167" s="257" t="s">
        <v>201</v>
      </c>
      <c r="B167" s="74">
        <v>1.65</v>
      </c>
      <c r="C167" s="79">
        <f t="shared" si="2"/>
        <v>1.55</v>
      </c>
      <c r="D167" s="80">
        <v>0.372454545454545</v>
      </c>
      <c r="E167" s="80">
        <v>0.0372454545454545</v>
      </c>
      <c r="F167" s="81">
        <v>0.0757090909090909</v>
      </c>
      <c r="G167" s="81">
        <v>0.0127272727272727</v>
      </c>
    </row>
    <row r="168" ht="15.75" spans="1:7">
      <c r="A168" s="257" t="s">
        <v>202</v>
      </c>
      <c r="B168" s="74">
        <v>1.72</v>
      </c>
      <c r="C168" s="79">
        <f t="shared" si="2"/>
        <v>1.65</v>
      </c>
      <c r="D168" s="80">
        <v>0.397994186046512</v>
      </c>
      <c r="E168" s="80">
        <v>0.0397994186046512</v>
      </c>
      <c r="F168" s="81">
        <v>0.088906976744186</v>
      </c>
      <c r="G168" s="81">
        <v>0.0162790697674419</v>
      </c>
    </row>
    <row r="169" ht="15.75" spans="1:7">
      <c r="A169" s="257" t="s">
        <v>203</v>
      </c>
      <c r="B169" s="74">
        <v>1.85</v>
      </c>
      <c r="C169" s="79">
        <f t="shared" si="2"/>
        <v>1.72</v>
      </c>
      <c r="D169" s="80">
        <v>0.440297297297297</v>
      </c>
      <c r="E169" s="80">
        <v>0.0641783783783784</v>
      </c>
      <c r="F169" s="81">
        <v>0.110767567567568</v>
      </c>
      <c r="G169" s="81">
        <v>0.0221621621621622</v>
      </c>
    </row>
    <row r="170" ht="15.75" spans="1:7">
      <c r="A170" s="257" t="s">
        <v>204</v>
      </c>
      <c r="B170" s="74">
        <v>1.93</v>
      </c>
      <c r="C170" s="79">
        <f t="shared" si="2"/>
        <v>1.85</v>
      </c>
      <c r="D170" s="80">
        <v>0.463497409326425</v>
      </c>
      <c r="E170" s="80">
        <v>0.0780984455958549</v>
      </c>
      <c r="F170" s="81">
        <v>0.122756476683938</v>
      </c>
      <c r="G170" s="81">
        <v>0.0253886010362694</v>
      </c>
    </row>
    <row r="171" ht="15.75" spans="1:7">
      <c r="A171" s="257" t="s">
        <v>205</v>
      </c>
      <c r="B171" s="74">
        <v>2.08</v>
      </c>
      <c r="C171" s="79">
        <f t="shared" si="2"/>
        <v>1.93</v>
      </c>
      <c r="D171" s="80">
        <v>0.5021875</v>
      </c>
      <c r="E171" s="80">
        <v>0.1013125</v>
      </c>
      <c r="F171" s="81">
        <v>0.14275</v>
      </c>
      <c r="G171" s="81">
        <v>0.0307692307692308</v>
      </c>
    </row>
    <row r="172" ht="15.75" spans="1:7">
      <c r="A172" s="257" t="s">
        <v>206</v>
      </c>
      <c r="B172" s="74">
        <v>2.24</v>
      </c>
      <c r="C172" s="79">
        <f t="shared" si="2"/>
        <v>2.08</v>
      </c>
      <c r="D172" s="80">
        <v>0.537745535714286</v>
      </c>
      <c r="E172" s="80">
        <v>0.122647321428571</v>
      </c>
      <c r="F172" s="81">
        <v>0.161125</v>
      </c>
      <c r="G172" s="81">
        <v>0.0357142857142857</v>
      </c>
    </row>
    <row r="173" ht="15.75" spans="1:7">
      <c r="A173" s="257" t="s">
        <v>207</v>
      </c>
      <c r="B173" s="74">
        <v>2.36</v>
      </c>
      <c r="C173" s="79">
        <f t="shared" si="2"/>
        <v>2.24</v>
      </c>
      <c r="D173" s="80">
        <v>0.56125</v>
      </c>
      <c r="E173" s="80">
        <v>0.13675</v>
      </c>
      <c r="F173" s="81">
        <v>0.173271186440678</v>
      </c>
      <c r="G173" s="81">
        <v>0.0389830508474576</v>
      </c>
    </row>
    <row r="174" ht="15.75" spans="1:7">
      <c r="A174" s="257" t="s">
        <v>208</v>
      </c>
      <c r="B174" s="74">
        <v>2.51</v>
      </c>
      <c r="C174" s="79">
        <f t="shared" si="2"/>
        <v>2.36</v>
      </c>
      <c r="D174" s="80">
        <v>0.587470119521912</v>
      </c>
      <c r="E174" s="80">
        <v>0.152482071713147</v>
      </c>
      <c r="F174" s="81">
        <v>0.186820717131474</v>
      </c>
      <c r="G174" s="81">
        <v>0.0557768924302789</v>
      </c>
    </row>
    <row r="175" ht="15.75" spans="1:7">
      <c r="A175" s="257" t="s">
        <v>209</v>
      </c>
      <c r="B175" s="74">
        <v>2.71</v>
      </c>
      <c r="C175" s="79">
        <f t="shared" si="2"/>
        <v>2.51</v>
      </c>
      <c r="D175" s="80">
        <v>0.617915129151292</v>
      </c>
      <c r="E175" s="80">
        <v>0.170749077490775</v>
      </c>
      <c r="F175" s="81">
        <v>0.202553505535055</v>
      </c>
      <c r="G175" s="81">
        <v>0.0811808118081181</v>
      </c>
    </row>
    <row r="176" ht="15.75" spans="1:7">
      <c r="A176" s="257" t="s">
        <v>210</v>
      </c>
      <c r="B176" s="74">
        <v>3.07</v>
      </c>
      <c r="C176" s="79">
        <f t="shared" si="2"/>
        <v>2.71</v>
      </c>
      <c r="D176" s="80">
        <v>0.66271986970684</v>
      </c>
      <c r="E176" s="80">
        <v>0.197631921824104</v>
      </c>
      <c r="F176" s="81">
        <v>0.225706840390879</v>
      </c>
      <c r="G176" s="81">
        <v>0.1185667752443</v>
      </c>
    </row>
    <row r="177" ht="15.75" spans="1:7">
      <c r="A177" s="257" t="s">
        <v>211</v>
      </c>
      <c r="B177" s="74">
        <v>3.35</v>
      </c>
      <c r="C177" s="79">
        <f t="shared" si="2"/>
        <v>3.07</v>
      </c>
      <c r="D177" s="80">
        <v>0.690910447761194</v>
      </c>
      <c r="E177" s="80">
        <v>0.214546268656716</v>
      </c>
      <c r="F177" s="81">
        <v>0.240274626865672</v>
      </c>
      <c r="G177" s="81">
        <v>0.142089552238806</v>
      </c>
    </row>
    <row r="178" ht="15.75" spans="1:7">
      <c r="A178" s="257" t="s">
        <v>212</v>
      </c>
      <c r="B178" s="74">
        <v>3.6</v>
      </c>
      <c r="C178" s="79">
        <f t="shared" si="2"/>
        <v>3.35</v>
      </c>
      <c r="D178" s="80">
        <v>0.712375</v>
      </c>
      <c r="E178" s="80">
        <v>0.227425</v>
      </c>
      <c r="F178" s="81">
        <v>0.251366666666667</v>
      </c>
      <c r="G178" s="81">
        <v>0.16</v>
      </c>
    </row>
    <row r="179" ht="15.75" spans="1:7">
      <c r="A179" s="257" t="s">
        <v>213</v>
      </c>
      <c r="B179" s="74">
        <v>3.84</v>
      </c>
      <c r="C179" s="79">
        <f t="shared" si="2"/>
        <v>3.6</v>
      </c>
      <c r="D179" s="80">
        <v>0.7303515625</v>
      </c>
      <c r="E179" s="80">
        <v>0.2382109375</v>
      </c>
      <c r="F179" s="81">
        <v>0.26065625</v>
      </c>
      <c r="G179" s="81">
        <v>0.175</v>
      </c>
    </row>
    <row r="180" ht="15.75" spans="1:7">
      <c r="A180" s="257" t="s">
        <v>214</v>
      </c>
      <c r="B180" s="74">
        <v>4.17</v>
      </c>
      <c r="C180" s="79">
        <f t="shared" si="2"/>
        <v>3.84</v>
      </c>
      <c r="D180" s="80">
        <v>0.751690647482014</v>
      </c>
      <c r="E180" s="80">
        <v>0.251014388489209</v>
      </c>
      <c r="F180" s="81">
        <v>0.27168345323741</v>
      </c>
      <c r="G180" s="81">
        <v>0.192805755395683</v>
      </c>
    </row>
    <row r="181" ht="15.75" spans="1:7">
      <c r="A181" s="257" t="s">
        <v>215</v>
      </c>
      <c r="B181" s="74">
        <v>5.12</v>
      </c>
      <c r="C181" s="79">
        <f t="shared" si="2"/>
        <v>4.17</v>
      </c>
      <c r="D181" s="80">
        <v>0.797763671875</v>
      </c>
      <c r="E181" s="80">
        <v>0.278658203125</v>
      </c>
      <c r="F181" s="81">
        <v>0.2954921875</v>
      </c>
      <c r="G181" s="81">
        <v>0.23125</v>
      </c>
    </row>
    <row r="182" ht="15.75" spans="1:7">
      <c r="A182" s="257" t="s">
        <v>216</v>
      </c>
      <c r="B182" s="74">
        <v>5.86</v>
      </c>
      <c r="C182" s="79">
        <f t="shared" si="2"/>
        <v>5.12</v>
      </c>
      <c r="D182" s="80">
        <v>0.82330204778157</v>
      </c>
      <c r="E182" s="80">
        <v>0.293981228668942</v>
      </c>
      <c r="F182" s="81">
        <v>0.308689419795222</v>
      </c>
      <c r="G182" s="81">
        <v>0.252559726962457</v>
      </c>
    </row>
    <row r="183" ht="15.75" spans="1:7">
      <c r="A183" s="257" t="s">
        <v>217</v>
      </c>
      <c r="B183" s="74">
        <v>6.28</v>
      </c>
      <c r="C183" s="79">
        <f t="shared" si="2"/>
        <v>5.86</v>
      </c>
      <c r="D183" s="80">
        <v>0.835119426751592</v>
      </c>
      <c r="E183" s="80">
        <v>0.301071656050955</v>
      </c>
      <c r="F183" s="81">
        <v>0.314796178343949</v>
      </c>
      <c r="G183" s="81">
        <v>0.262420382165605</v>
      </c>
    </row>
    <row r="184" ht="15.75" spans="1:7">
      <c r="A184" s="257" t="s">
        <v>218</v>
      </c>
      <c r="B184" s="74">
        <v>7.42</v>
      </c>
      <c r="C184" s="79">
        <f t="shared" si="2"/>
        <v>6.28</v>
      </c>
      <c r="D184" s="80">
        <v>0.860451482479784</v>
      </c>
      <c r="E184" s="80">
        <v>0.316270889487871</v>
      </c>
      <c r="F184" s="81">
        <v>0.32788679245283</v>
      </c>
      <c r="G184" s="81">
        <v>0.28355795148248</v>
      </c>
    </row>
    <row r="185" ht="15.75" spans="1:7">
      <c r="A185" s="257" t="s">
        <v>219</v>
      </c>
      <c r="B185" s="74">
        <v>9.19</v>
      </c>
      <c r="C185" s="79">
        <f t="shared" si="2"/>
        <v>7.42</v>
      </c>
      <c r="D185" s="80">
        <v>0.887328618063112</v>
      </c>
      <c r="E185" s="80">
        <v>0.332397170837867</v>
      </c>
      <c r="F185" s="81">
        <v>0.341775843307943</v>
      </c>
      <c r="G185" s="81">
        <v>0.305984766050054</v>
      </c>
    </row>
    <row r="186" ht="15.75" spans="1:7">
      <c r="A186" s="257" t="s">
        <v>220</v>
      </c>
      <c r="B186" s="74">
        <v>14.37</v>
      </c>
      <c r="C186" s="79">
        <f t="shared" si="2"/>
        <v>9.19</v>
      </c>
      <c r="D186" s="80">
        <v>0.92794363256785</v>
      </c>
      <c r="E186" s="80">
        <v>0.35676617954071</v>
      </c>
      <c r="F186" s="81">
        <v>0.362764091858038</v>
      </c>
      <c r="G186" s="81">
        <v>0.339874739039666</v>
      </c>
    </row>
    <row r="187" ht="15.75" spans="1:7">
      <c r="A187" s="257" t="s">
        <v>221</v>
      </c>
      <c r="B187" s="286">
        <v>25.43</v>
      </c>
      <c r="C187" s="79">
        <f t="shared" si="2"/>
        <v>14.37</v>
      </c>
      <c r="D187" s="80">
        <v>0.959282343688557</v>
      </c>
      <c r="E187" s="80">
        <v>0.375569406213134</v>
      </c>
      <c r="F187" s="81">
        <v>0.378958710184821</v>
      </c>
      <c r="G187" s="81">
        <v>0.366024380652772</v>
      </c>
    </row>
    <row r="188" ht="15.75" spans="1:7">
      <c r="A188" s="257" t="s">
        <v>221</v>
      </c>
      <c r="B188" s="257" t="s">
        <v>385</v>
      </c>
      <c r="C188" s="79">
        <f t="shared" si="2"/>
        <v>25.43</v>
      </c>
      <c r="D188" s="260"/>
      <c r="E188" s="72"/>
      <c r="F188" s="73"/>
      <c r="G188" s="84"/>
    </row>
    <row r="189" ht="15.75" spans="1:7">
      <c r="A189" s="257"/>
      <c r="B189" s="257"/>
      <c r="C189" s="116"/>
      <c r="D189" s="260"/>
      <c r="E189" s="261">
        <v>0.0888993299174539</v>
      </c>
      <c r="F189" s="262">
        <v>0.102681390678521</v>
      </c>
      <c r="G189" s="262">
        <v>0.0631650599402884</v>
      </c>
    </row>
    <row r="190" ht="48.75" spans="1:7">
      <c r="A190" s="256" t="s">
        <v>233</v>
      </c>
      <c r="B190" s="287">
        <v>1.2</v>
      </c>
      <c r="C190" s="116"/>
      <c r="D190" s="260"/>
      <c r="E190" s="263">
        <v>1.72575</v>
      </c>
      <c r="F190" s="264">
        <v>1.48633333333333</v>
      </c>
      <c r="G190" s="265">
        <v>1.2</v>
      </c>
    </row>
    <row r="191" ht="48.75" spans="1:7">
      <c r="A191" s="256" t="s">
        <v>224</v>
      </c>
      <c r="B191" s="286">
        <v>2.47</v>
      </c>
      <c r="C191" s="116"/>
      <c r="D191" s="72"/>
      <c r="E191" s="72"/>
      <c r="F191" s="73"/>
      <c r="G191" s="73"/>
    </row>
    <row r="192" ht="84.75" spans="1:7">
      <c r="A192" s="266" t="s">
        <v>225</v>
      </c>
      <c r="B192" s="116">
        <v>0.72</v>
      </c>
      <c r="C192" s="116"/>
      <c r="D192" s="72"/>
      <c r="E192" s="72">
        <v>1.03545</v>
      </c>
      <c r="F192" s="73">
        <v>0.8918</v>
      </c>
      <c r="G192" s="73">
        <v>0.72</v>
      </c>
    </row>
    <row r="195" spans="1:3">
      <c r="A195" s="531" t="s">
        <v>226</v>
      </c>
      <c r="B195" s="95">
        <f>AVERAGE(B143:B182)</f>
        <v>1.72575</v>
      </c>
      <c r="C195" s="95"/>
    </row>
    <row r="196" spans="1:3">
      <c r="A196" s="531" t="s">
        <v>227</v>
      </c>
      <c r="B196" s="96">
        <f>AVERAGE(B148:B177)</f>
        <v>1.48633333333333</v>
      </c>
      <c r="C196" s="96"/>
    </row>
    <row r="197" spans="1:3">
      <c r="A197" s="531" t="s">
        <v>228</v>
      </c>
      <c r="B197" s="96">
        <f>AVERAGE(B154:B172)</f>
        <v>1.40368421052632</v>
      </c>
      <c r="C197" s="96"/>
    </row>
    <row r="200" customHeight="1" spans="1:7">
      <c r="A200" s="83" t="s">
        <v>165</v>
      </c>
      <c r="B200" s="83" t="s">
        <v>234</v>
      </c>
      <c r="C200" s="83"/>
      <c r="D200" s="83"/>
      <c r="E200" s="86">
        <f>(1-E255)^(1/3)-1</f>
        <v>-0.0310568711041328</v>
      </c>
      <c r="F200" s="86">
        <f>(1-F255)^(1/3)-1</f>
        <v>-0.0350954760640361</v>
      </c>
      <c r="G200" s="86"/>
    </row>
    <row r="201" ht="72" spans="1:7">
      <c r="A201" s="83"/>
      <c r="B201" s="83" t="s">
        <v>167</v>
      </c>
      <c r="C201" s="83"/>
      <c r="D201" s="83" t="s">
        <v>168</v>
      </c>
      <c r="E201" s="83" t="s">
        <v>169</v>
      </c>
      <c r="F201" s="84" t="s">
        <v>169</v>
      </c>
      <c r="G201" s="84"/>
    </row>
    <row r="202" ht="24" spans="1:7">
      <c r="A202" s="83"/>
      <c r="B202" s="83" t="s">
        <v>235</v>
      </c>
      <c r="C202" s="83"/>
      <c r="D202" s="83" t="s">
        <v>171</v>
      </c>
      <c r="E202" s="534" t="s">
        <v>227</v>
      </c>
      <c r="F202" s="84"/>
      <c r="G202" s="267"/>
    </row>
    <row r="203" ht="15.75" spans="1:7">
      <c r="A203" s="75">
        <v>1</v>
      </c>
      <c r="B203" s="76">
        <v>2</v>
      </c>
      <c r="C203" s="76"/>
      <c r="D203" s="76">
        <v>3</v>
      </c>
      <c r="E203" s="76">
        <v>4</v>
      </c>
      <c r="F203" s="77">
        <v>5</v>
      </c>
      <c r="G203" s="77"/>
    </row>
    <row r="204" ht="15.75" spans="1:7">
      <c r="A204" s="530" t="s">
        <v>172</v>
      </c>
      <c r="B204" s="272">
        <v>0.12</v>
      </c>
      <c r="C204" s="89">
        <v>0</v>
      </c>
      <c r="D204" s="80">
        <v>0</v>
      </c>
      <c r="E204" s="80">
        <v>0</v>
      </c>
      <c r="F204" s="81">
        <v>0</v>
      </c>
      <c r="G204" s="81">
        <v>0</v>
      </c>
    </row>
    <row r="205" ht="15.75" spans="1:7">
      <c r="A205" s="530" t="s">
        <v>173</v>
      </c>
      <c r="B205" s="74">
        <v>0.15</v>
      </c>
      <c r="C205" s="79">
        <f>B204</f>
        <v>0.12</v>
      </c>
      <c r="D205" s="80">
        <v>0</v>
      </c>
      <c r="E205" s="80">
        <v>0</v>
      </c>
      <c r="F205" s="81">
        <v>0</v>
      </c>
      <c r="G205" s="81">
        <v>0</v>
      </c>
    </row>
    <row r="206" ht="15.75" spans="1:7">
      <c r="A206" s="530" t="s">
        <v>174</v>
      </c>
      <c r="B206" s="74">
        <v>0.2</v>
      </c>
      <c r="C206" s="79">
        <f t="shared" ref="C206:C254" si="3">B205</f>
        <v>0.15</v>
      </c>
      <c r="D206" s="80">
        <v>0</v>
      </c>
      <c r="E206" s="80">
        <v>0</v>
      </c>
      <c r="F206" s="81">
        <v>0</v>
      </c>
      <c r="G206" s="81">
        <v>0</v>
      </c>
    </row>
    <row r="207" ht="15.75" spans="1:7">
      <c r="A207" s="530" t="s">
        <v>175</v>
      </c>
      <c r="B207" s="74">
        <v>0.28</v>
      </c>
      <c r="C207" s="79">
        <f t="shared" si="3"/>
        <v>0.2</v>
      </c>
      <c r="D207" s="80">
        <v>0</v>
      </c>
      <c r="E207" s="80">
        <v>0</v>
      </c>
      <c r="F207" s="81">
        <v>0</v>
      </c>
      <c r="G207" s="81">
        <v>0</v>
      </c>
    </row>
    <row r="208" ht="15.75" spans="1:7">
      <c r="A208" s="530" t="s">
        <v>176</v>
      </c>
      <c r="B208" s="74">
        <v>0.34</v>
      </c>
      <c r="C208" s="79">
        <f t="shared" si="3"/>
        <v>0.28</v>
      </c>
      <c r="D208" s="80">
        <v>0</v>
      </c>
      <c r="E208" s="80">
        <v>0</v>
      </c>
      <c r="F208" s="81">
        <v>0</v>
      </c>
      <c r="G208" s="81">
        <v>0</v>
      </c>
    </row>
    <row r="209" ht="15.75" spans="1:7">
      <c r="A209" s="530" t="s">
        <v>177</v>
      </c>
      <c r="B209" s="74">
        <v>0.43</v>
      </c>
      <c r="C209" s="79">
        <f t="shared" si="3"/>
        <v>0.34</v>
      </c>
      <c r="D209" s="80">
        <v>0</v>
      </c>
      <c r="E209" s="80">
        <v>0</v>
      </c>
      <c r="F209" s="81">
        <v>0</v>
      </c>
      <c r="G209" s="81">
        <v>0</v>
      </c>
    </row>
    <row r="210" ht="15.75" spans="1:7">
      <c r="A210" s="530" t="s">
        <v>178</v>
      </c>
      <c r="B210" s="74">
        <v>0.5</v>
      </c>
      <c r="C210" s="79">
        <f t="shared" si="3"/>
        <v>0.43</v>
      </c>
      <c r="D210" s="80">
        <v>0</v>
      </c>
      <c r="E210" s="80">
        <v>0</v>
      </c>
      <c r="F210" s="81">
        <v>0</v>
      </c>
      <c r="G210" s="81">
        <v>0</v>
      </c>
    </row>
    <row r="211" ht="15.75" spans="1:7">
      <c r="A211" s="78" t="s">
        <v>179</v>
      </c>
      <c r="B211" s="74">
        <v>0.63</v>
      </c>
      <c r="C211" s="79">
        <f t="shared" si="3"/>
        <v>0.5</v>
      </c>
      <c r="D211" s="80">
        <v>0</v>
      </c>
      <c r="E211" s="80">
        <v>0</v>
      </c>
      <c r="F211" s="81">
        <v>0</v>
      </c>
      <c r="G211" s="81">
        <v>0</v>
      </c>
    </row>
    <row r="212" ht="15.75" spans="1:7">
      <c r="A212" s="78" t="s">
        <v>180</v>
      </c>
      <c r="B212" s="74">
        <v>0.82</v>
      </c>
      <c r="C212" s="79">
        <f t="shared" si="3"/>
        <v>0.63</v>
      </c>
      <c r="D212" s="80">
        <v>0</v>
      </c>
      <c r="E212" s="80">
        <v>0</v>
      </c>
      <c r="F212" s="81">
        <v>0</v>
      </c>
      <c r="G212" s="81">
        <v>0</v>
      </c>
    </row>
    <row r="213" ht="15.75" spans="1:7">
      <c r="A213" s="78" t="s">
        <v>181</v>
      </c>
      <c r="B213" s="74">
        <v>0.93</v>
      </c>
      <c r="C213" s="79">
        <f t="shared" si="3"/>
        <v>0.82</v>
      </c>
      <c r="D213" s="80">
        <v>0</v>
      </c>
      <c r="E213" s="80">
        <v>0</v>
      </c>
      <c r="F213" s="81">
        <v>0</v>
      </c>
      <c r="G213" s="81">
        <v>0</v>
      </c>
    </row>
    <row r="214" ht="15.75" spans="1:7">
      <c r="A214" s="78" t="s">
        <v>182</v>
      </c>
      <c r="B214" s="74">
        <v>1.08</v>
      </c>
      <c r="C214" s="79">
        <f t="shared" si="3"/>
        <v>0.93</v>
      </c>
      <c r="D214" s="80">
        <v>0</v>
      </c>
      <c r="E214" s="80">
        <v>0</v>
      </c>
      <c r="F214" s="81">
        <v>0</v>
      </c>
      <c r="G214" s="81">
        <v>0</v>
      </c>
    </row>
    <row r="215" ht="15.75" spans="1:7">
      <c r="A215" s="78" t="s">
        <v>183</v>
      </c>
      <c r="B215" s="74">
        <v>1.2</v>
      </c>
      <c r="C215" s="79">
        <f t="shared" si="3"/>
        <v>1.08</v>
      </c>
      <c r="D215" s="80">
        <v>0</v>
      </c>
      <c r="E215" s="80">
        <v>0</v>
      </c>
      <c r="F215" s="81">
        <v>0</v>
      </c>
      <c r="G215" s="81">
        <v>0</v>
      </c>
    </row>
    <row r="216" ht="15.75" spans="1:7">
      <c r="A216" s="78" t="s">
        <v>184</v>
      </c>
      <c r="B216" s="74">
        <v>1.29</v>
      </c>
      <c r="C216" s="79">
        <f t="shared" si="3"/>
        <v>1.2</v>
      </c>
      <c r="D216" s="80">
        <v>0</v>
      </c>
      <c r="E216" s="80">
        <v>0</v>
      </c>
      <c r="F216" s="81">
        <v>0</v>
      </c>
      <c r="G216" s="81">
        <v>0</v>
      </c>
    </row>
    <row r="217" ht="15.75" spans="1:7">
      <c r="A217" s="78" t="s">
        <v>185</v>
      </c>
      <c r="B217" s="74">
        <v>1.43</v>
      </c>
      <c r="C217" s="79">
        <f t="shared" si="3"/>
        <v>1.29</v>
      </c>
      <c r="D217" s="80">
        <v>0</v>
      </c>
      <c r="E217" s="80">
        <v>0</v>
      </c>
      <c r="F217" s="81">
        <v>0</v>
      </c>
      <c r="G217" s="81">
        <v>0</v>
      </c>
    </row>
    <row r="218" ht="15.75" spans="1:7">
      <c r="A218" s="78" t="s">
        <v>186</v>
      </c>
      <c r="B218" s="74">
        <v>1.58</v>
      </c>
      <c r="C218" s="79">
        <f t="shared" si="3"/>
        <v>1.43</v>
      </c>
      <c r="D218" s="80">
        <v>0</v>
      </c>
      <c r="E218" s="80">
        <v>0</v>
      </c>
      <c r="F218" s="81">
        <v>0</v>
      </c>
      <c r="G218" s="81">
        <v>0.00886075949367089</v>
      </c>
    </row>
    <row r="219" ht="15.75" spans="1:7">
      <c r="A219" s="78" t="s">
        <v>187</v>
      </c>
      <c r="B219" s="74">
        <v>1.73</v>
      </c>
      <c r="C219" s="79">
        <f t="shared" si="3"/>
        <v>1.58</v>
      </c>
      <c r="D219" s="80">
        <v>0</v>
      </c>
      <c r="E219" s="80">
        <v>0</v>
      </c>
      <c r="F219" s="81">
        <v>0</v>
      </c>
      <c r="G219" s="81">
        <v>0.0167630057803468</v>
      </c>
    </row>
    <row r="220" ht="15.75" spans="1:7">
      <c r="A220" s="78" t="s">
        <v>188</v>
      </c>
      <c r="B220" s="74">
        <v>1.86</v>
      </c>
      <c r="C220" s="79">
        <f t="shared" si="3"/>
        <v>1.73</v>
      </c>
      <c r="D220" s="80">
        <v>0</v>
      </c>
      <c r="E220" s="80">
        <v>0</v>
      </c>
      <c r="F220" s="81">
        <v>0</v>
      </c>
      <c r="G220" s="81">
        <v>0.0225806451612903</v>
      </c>
    </row>
    <row r="221" ht="15.75" spans="1:7">
      <c r="A221" s="78" t="s">
        <v>189</v>
      </c>
      <c r="B221" s="74">
        <v>1.96</v>
      </c>
      <c r="C221" s="79">
        <f t="shared" si="3"/>
        <v>1.86</v>
      </c>
      <c r="D221" s="80">
        <v>0</v>
      </c>
      <c r="E221" s="80">
        <v>0</v>
      </c>
      <c r="F221" s="81">
        <v>0</v>
      </c>
      <c r="G221" s="81">
        <v>0.026530612244898</v>
      </c>
    </row>
    <row r="222" ht="15.75" spans="1:7">
      <c r="A222" s="78" t="s">
        <v>190</v>
      </c>
      <c r="B222" s="74">
        <v>2.08</v>
      </c>
      <c r="C222" s="79">
        <f t="shared" si="3"/>
        <v>1.96</v>
      </c>
      <c r="D222" s="80">
        <v>0</v>
      </c>
      <c r="E222" s="80">
        <v>0</v>
      </c>
      <c r="F222" s="81">
        <v>0.00271153846153846</v>
      </c>
      <c r="G222" s="81">
        <v>0.0307692307692308</v>
      </c>
    </row>
    <row r="223" ht="15.75" spans="1:7">
      <c r="A223" s="78" t="s">
        <v>191</v>
      </c>
      <c r="B223" s="74">
        <v>2.21</v>
      </c>
      <c r="C223" s="79">
        <f t="shared" si="3"/>
        <v>2.08</v>
      </c>
      <c r="D223" s="80">
        <v>0</v>
      </c>
      <c r="E223" s="80">
        <v>0</v>
      </c>
      <c r="F223" s="81">
        <v>0.00843438914027149</v>
      </c>
      <c r="G223" s="81">
        <v>0.034841628959276</v>
      </c>
    </row>
    <row r="224" ht="15.75" spans="1:7">
      <c r="A224" s="78" t="s">
        <v>192</v>
      </c>
      <c r="B224" s="74">
        <v>2.34</v>
      </c>
      <c r="C224" s="79">
        <f t="shared" si="3"/>
        <v>2.21</v>
      </c>
      <c r="D224" s="80">
        <v>0.0233974358974358</v>
      </c>
      <c r="E224" s="80"/>
      <c r="F224" s="81">
        <v>0.0135213675213675</v>
      </c>
      <c r="G224" s="81">
        <v>0.0384615384615385</v>
      </c>
    </row>
    <row r="225" ht="15.75" spans="1:7">
      <c r="A225" s="78" t="s">
        <v>193</v>
      </c>
      <c r="B225" s="74">
        <v>2.47</v>
      </c>
      <c r="C225" s="79">
        <f t="shared" si="3"/>
        <v>2.34</v>
      </c>
      <c r="D225" s="80">
        <v>0.0747975708502025</v>
      </c>
      <c r="E225" s="80"/>
      <c r="F225" s="81">
        <v>0.0180728744939271</v>
      </c>
      <c r="G225" s="81">
        <v>0.0502024291497976</v>
      </c>
    </row>
    <row r="226" ht="15.75" spans="1:7">
      <c r="A226" s="78" t="s">
        <v>194</v>
      </c>
      <c r="B226" s="74">
        <v>2.6</v>
      </c>
      <c r="C226" s="79">
        <f t="shared" si="3"/>
        <v>2.47</v>
      </c>
      <c r="D226" s="80">
        <v>0.121057692307692</v>
      </c>
      <c r="E226" s="80">
        <v>0.0121057692307692</v>
      </c>
      <c r="F226" s="81">
        <v>0.0221692307692308</v>
      </c>
      <c r="G226" s="81">
        <v>0.0676923076923077</v>
      </c>
    </row>
    <row r="227" ht="15.75" spans="1:7">
      <c r="A227" s="78" t="s">
        <v>195</v>
      </c>
      <c r="B227" s="74">
        <v>2.82</v>
      </c>
      <c r="C227" s="79">
        <f t="shared" si="3"/>
        <v>2.6</v>
      </c>
      <c r="D227" s="80">
        <v>0.189627659574468</v>
      </c>
      <c r="E227" s="80">
        <v>0.0189627659574468</v>
      </c>
      <c r="F227" s="81">
        <v>0.028241134751773</v>
      </c>
      <c r="G227" s="81">
        <v>0.0936170212765958</v>
      </c>
    </row>
    <row r="228" ht="15.75" spans="1:7">
      <c r="A228" s="78" t="s">
        <v>196</v>
      </c>
      <c r="B228" s="74">
        <v>2.95</v>
      </c>
      <c r="C228" s="79">
        <f t="shared" si="3"/>
        <v>2.82</v>
      </c>
      <c r="D228" s="80">
        <v>0.225338983050848</v>
      </c>
      <c r="E228" s="80">
        <v>0.0225338983050848</v>
      </c>
      <c r="F228" s="81">
        <v>0.0314033898305085</v>
      </c>
      <c r="G228" s="81">
        <v>0.107118644067797</v>
      </c>
    </row>
    <row r="229" ht="15.75" spans="1:7">
      <c r="A229" s="78" t="s">
        <v>197</v>
      </c>
      <c r="B229" s="74">
        <v>3.13</v>
      </c>
      <c r="C229" s="79">
        <f t="shared" si="3"/>
        <v>2.95</v>
      </c>
      <c r="D229" s="80">
        <v>0.269888178913738</v>
      </c>
      <c r="E229" s="80">
        <v>0.0269888178913738</v>
      </c>
      <c r="F229" s="81">
        <v>0.0353482428115016</v>
      </c>
      <c r="G229" s="81">
        <v>0.123961661341853</v>
      </c>
    </row>
    <row r="230" ht="15.75" spans="1:7">
      <c r="A230" s="78" t="s">
        <v>198</v>
      </c>
      <c r="B230" s="74">
        <v>3.32</v>
      </c>
      <c r="C230" s="79">
        <f t="shared" si="3"/>
        <v>3.13</v>
      </c>
      <c r="D230" s="80">
        <v>0.311671686746988</v>
      </c>
      <c r="E230" s="80">
        <v>0.0311671686746988</v>
      </c>
      <c r="F230" s="81">
        <v>0.0390481927710843</v>
      </c>
      <c r="G230" s="81">
        <v>0.139759036144578</v>
      </c>
    </row>
    <row r="231" ht="15.75" spans="1:7">
      <c r="A231" s="78" t="s">
        <v>199</v>
      </c>
      <c r="B231" s="74">
        <v>3.42</v>
      </c>
      <c r="C231" s="79">
        <f t="shared" si="3"/>
        <v>3.32</v>
      </c>
      <c r="D231" s="80">
        <v>0.331798245614035</v>
      </c>
      <c r="E231" s="80">
        <v>0.0331798245614035</v>
      </c>
      <c r="F231" s="81">
        <v>0.0449824561403509</v>
      </c>
      <c r="G231" s="81">
        <v>0.147368421052632</v>
      </c>
    </row>
    <row r="232" ht="15.75" spans="1:7">
      <c r="A232" s="78" t="s">
        <v>200</v>
      </c>
      <c r="B232" s="74">
        <v>3.52</v>
      </c>
      <c r="C232" s="79">
        <f t="shared" si="3"/>
        <v>3.42</v>
      </c>
      <c r="D232" s="80">
        <v>0.35078125</v>
      </c>
      <c r="E232" s="80">
        <v>0.035078125</v>
      </c>
      <c r="F232" s="81">
        <v>0.0550681818181818</v>
      </c>
      <c r="G232" s="81">
        <v>0.154545454545455</v>
      </c>
    </row>
    <row r="233" ht="15.75" spans="1:7">
      <c r="A233" s="78" t="s">
        <v>201</v>
      </c>
      <c r="B233" s="74">
        <v>3.68</v>
      </c>
      <c r="C233" s="79">
        <f t="shared" si="3"/>
        <v>3.52</v>
      </c>
      <c r="D233" s="80">
        <v>0.379008152173913</v>
      </c>
      <c r="E233" s="80">
        <v>0.0379008152173913</v>
      </c>
      <c r="F233" s="81">
        <v>0.0700652173913043</v>
      </c>
      <c r="G233" s="81">
        <v>0.165217391304348</v>
      </c>
    </row>
    <row r="234" ht="15.75" spans="1:7">
      <c r="A234" s="78" t="s">
        <v>202</v>
      </c>
      <c r="B234" s="74">
        <v>3.9</v>
      </c>
      <c r="C234" s="79">
        <f t="shared" si="3"/>
        <v>3.68</v>
      </c>
      <c r="D234" s="80">
        <v>0.414038461538462</v>
      </c>
      <c r="E234" s="80">
        <v>0.0484230769230769</v>
      </c>
      <c r="F234" s="81">
        <v>0.0886769230769231</v>
      </c>
      <c r="G234" s="81">
        <v>0.178461538461538</v>
      </c>
    </row>
    <row r="235" ht="15.75" spans="1:7">
      <c r="A235" s="78" t="s">
        <v>203</v>
      </c>
      <c r="B235" s="74">
        <v>4.14</v>
      </c>
      <c r="C235" s="79">
        <f t="shared" si="3"/>
        <v>3.9</v>
      </c>
      <c r="D235" s="80">
        <v>0.448007246376812</v>
      </c>
      <c r="E235" s="80">
        <v>0.068804347826087</v>
      </c>
      <c r="F235" s="81">
        <v>0.106724637681159</v>
      </c>
      <c r="G235" s="81">
        <v>0.191304347826087</v>
      </c>
    </row>
    <row r="236" ht="15.75" spans="1:7">
      <c r="A236" s="78" t="s">
        <v>204</v>
      </c>
      <c r="B236" s="74">
        <v>4.46</v>
      </c>
      <c r="C236" s="79">
        <f t="shared" si="3"/>
        <v>4.14</v>
      </c>
      <c r="D236" s="80">
        <v>0.487612107623318</v>
      </c>
      <c r="E236" s="80">
        <v>0.092567264573991</v>
      </c>
      <c r="F236" s="81">
        <v>0.127766816143498</v>
      </c>
      <c r="G236" s="81">
        <v>0.20627802690583</v>
      </c>
    </row>
    <row r="237" ht="15.75" spans="1:7">
      <c r="A237" s="78" t="s">
        <v>205</v>
      </c>
      <c r="B237" s="74">
        <v>4.81</v>
      </c>
      <c r="C237" s="79">
        <f t="shared" si="3"/>
        <v>4.46</v>
      </c>
      <c r="D237" s="80">
        <v>0.52489604989605</v>
      </c>
      <c r="E237" s="80">
        <v>0.11493762993763</v>
      </c>
      <c r="F237" s="81">
        <v>0.147575883575884</v>
      </c>
      <c r="G237" s="81">
        <v>0.22037422037422</v>
      </c>
    </row>
    <row r="238" ht="15.75" spans="1:7">
      <c r="A238" s="78" t="s">
        <v>206</v>
      </c>
      <c r="B238" s="74">
        <v>5.12</v>
      </c>
      <c r="C238" s="79">
        <f t="shared" si="3"/>
        <v>4.81</v>
      </c>
      <c r="D238" s="80">
        <v>0.553662109375</v>
      </c>
      <c r="E238" s="80">
        <v>0.132197265625</v>
      </c>
      <c r="F238" s="81">
        <v>0.162859375</v>
      </c>
      <c r="G238" s="81">
        <v>0.23125</v>
      </c>
    </row>
    <row r="239" ht="15.75" spans="1:7">
      <c r="A239" s="78" t="s">
        <v>207</v>
      </c>
      <c r="B239" s="74">
        <v>5.6</v>
      </c>
      <c r="C239" s="79">
        <f t="shared" si="3"/>
        <v>5.12</v>
      </c>
      <c r="D239" s="80">
        <v>0.591919642857143</v>
      </c>
      <c r="E239" s="80">
        <v>0.155151785714286</v>
      </c>
      <c r="F239" s="81">
        <v>0.183185714285714</v>
      </c>
      <c r="G239" s="81">
        <v>0.245714285714286</v>
      </c>
    </row>
    <row r="240" ht="15.75" spans="1:7">
      <c r="A240" s="78" t="s">
        <v>208</v>
      </c>
      <c r="B240" s="74">
        <v>5.97</v>
      </c>
      <c r="C240" s="79">
        <f t="shared" si="3"/>
        <v>5.6</v>
      </c>
      <c r="D240" s="80">
        <v>0.617211055276382</v>
      </c>
      <c r="E240" s="80">
        <v>0.170326633165829</v>
      </c>
      <c r="F240" s="81">
        <v>0.196623115577889</v>
      </c>
      <c r="G240" s="81">
        <v>0.255276381909548</v>
      </c>
    </row>
    <row r="241" ht="15.75" spans="1:7">
      <c r="A241" s="78" t="s">
        <v>209</v>
      </c>
      <c r="B241" s="74">
        <v>6.3</v>
      </c>
      <c r="C241" s="79">
        <f t="shared" si="3"/>
        <v>5.97</v>
      </c>
      <c r="D241" s="80">
        <v>0.637261904761905</v>
      </c>
      <c r="E241" s="80">
        <v>0.182357142857143</v>
      </c>
      <c r="F241" s="81">
        <v>0.20727619047619</v>
      </c>
      <c r="G241" s="81">
        <v>0.262857142857143</v>
      </c>
    </row>
    <row r="242" ht="15.75" spans="1:7">
      <c r="A242" s="78" t="s">
        <v>210</v>
      </c>
      <c r="B242" s="74">
        <v>6.81</v>
      </c>
      <c r="C242" s="79">
        <f t="shared" si="3"/>
        <v>6.3</v>
      </c>
      <c r="D242" s="80">
        <v>0.66442731277533</v>
      </c>
      <c r="E242" s="80">
        <v>0.198656387665198</v>
      </c>
      <c r="F242" s="81">
        <v>0.221709251101322</v>
      </c>
      <c r="G242" s="81">
        <v>0.273127753303965</v>
      </c>
    </row>
    <row r="243" ht="15.75" spans="1:7">
      <c r="A243" s="78" t="s">
        <v>211</v>
      </c>
      <c r="B243" s="74">
        <v>7.4</v>
      </c>
      <c r="C243" s="79">
        <f t="shared" si="3"/>
        <v>6.81</v>
      </c>
      <c r="D243" s="80">
        <v>0.691182432432432</v>
      </c>
      <c r="E243" s="80">
        <v>0.214709459459459</v>
      </c>
      <c r="F243" s="81">
        <v>0.235924324324324</v>
      </c>
      <c r="G243" s="81">
        <v>0.283243243243243</v>
      </c>
    </row>
    <row r="244" ht="15.75" spans="1:7">
      <c r="A244" s="78" t="s">
        <v>212</v>
      </c>
      <c r="B244" s="74">
        <v>8.11</v>
      </c>
      <c r="C244" s="79">
        <f t="shared" si="3"/>
        <v>7.4</v>
      </c>
      <c r="D244" s="80">
        <v>0.718218249075216</v>
      </c>
      <c r="E244" s="80">
        <v>0.230930949445129</v>
      </c>
      <c r="F244" s="81">
        <v>0.250288532675709</v>
      </c>
      <c r="G244" s="81">
        <v>0.293464858199753</v>
      </c>
    </row>
    <row r="245" ht="15.75" spans="1:7">
      <c r="A245" s="78" t="s">
        <v>213</v>
      </c>
      <c r="B245" s="74">
        <v>8.94</v>
      </c>
      <c r="C245" s="79">
        <f t="shared" si="3"/>
        <v>8.11</v>
      </c>
      <c r="D245" s="80">
        <v>0.744379194630873</v>
      </c>
      <c r="E245" s="80">
        <v>0.246627516778523</v>
      </c>
      <c r="F245" s="81">
        <v>0.264187919463087</v>
      </c>
      <c r="G245" s="81">
        <v>0.303355704697987</v>
      </c>
    </row>
    <row r="246" ht="15.75" spans="1:7">
      <c r="A246" s="78" t="s">
        <v>214</v>
      </c>
      <c r="B246" s="74">
        <v>9.42</v>
      </c>
      <c r="C246" s="79">
        <f t="shared" si="3"/>
        <v>8.94</v>
      </c>
      <c r="D246" s="80">
        <v>0.757404458598726</v>
      </c>
      <c r="E246" s="80">
        <v>0.254442675159236</v>
      </c>
      <c r="F246" s="81">
        <v>0.271108280254777</v>
      </c>
      <c r="G246" s="81">
        <v>0.30828025477707</v>
      </c>
    </row>
    <row r="247" ht="15.75" spans="1:7">
      <c r="A247" s="78" t="s">
        <v>215</v>
      </c>
      <c r="B247" s="74">
        <v>10.11</v>
      </c>
      <c r="C247" s="79">
        <f t="shared" si="3"/>
        <v>9.42</v>
      </c>
      <c r="D247" s="80">
        <v>0.773961424332344</v>
      </c>
      <c r="E247" s="80">
        <v>0.264376854599407</v>
      </c>
      <c r="F247" s="81">
        <v>0.279905044510386</v>
      </c>
      <c r="G247" s="81">
        <v>0.314540059347181</v>
      </c>
    </row>
    <row r="248" ht="15.75" spans="1:7">
      <c r="A248" s="78" t="s">
        <v>216</v>
      </c>
      <c r="B248" s="74">
        <v>11.28</v>
      </c>
      <c r="C248" s="79">
        <f t="shared" si="3"/>
        <v>10.11</v>
      </c>
      <c r="D248" s="80">
        <v>0.797406914893617</v>
      </c>
      <c r="E248" s="80">
        <v>0.27844414893617</v>
      </c>
      <c r="F248" s="81">
        <v>0.29236170212766</v>
      </c>
      <c r="G248" s="81">
        <v>0.323404255319149</v>
      </c>
    </row>
    <row r="249" ht="15.75" spans="1:7">
      <c r="A249" s="78" t="s">
        <v>217</v>
      </c>
      <c r="B249" s="74">
        <v>12.81</v>
      </c>
      <c r="C249" s="79">
        <f t="shared" si="3"/>
        <v>11.28</v>
      </c>
      <c r="D249" s="80">
        <v>0.821604215456675</v>
      </c>
      <c r="E249" s="80">
        <v>0.292962529274005</v>
      </c>
      <c r="F249" s="81">
        <v>0.305217798594848</v>
      </c>
      <c r="G249" s="81">
        <v>0.332552693208431</v>
      </c>
    </row>
    <row r="250" ht="15.75" spans="1:7">
      <c r="A250" s="78" t="s">
        <v>218</v>
      </c>
      <c r="B250" s="74">
        <v>14.9</v>
      </c>
      <c r="C250" s="79">
        <f t="shared" si="3"/>
        <v>12.81</v>
      </c>
      <c r="D250" s="80">
        <v>0.846627516778524</v>
      </c>
      <c r="E250" s="80">
        <v>0.307976510067114</v>
      </c>
      <c r="F250" s="81">
        <v>0.318512751677852</v>
      </c>
      <c r="G250" s="81">
        <v>0.342013422818792</v>
      </c>
    </row>
    <row r="251" ht="15.75" spans="1:7">
      <c r="A251" s="78" t="s">
        <v>219</v>
      </c>
      <c r="B251" s="74">
        <v>19</v>
      </c>
      <c r="C251" s="79">
        <f t="shared" si="3"/>
        <v>14.9</v>
      </c>
      <c r="D251" s="80">
        <v>0.879723684210526</v>
      </c>
      <c r="E251" s="80">
        <v>0.327834210526316</v>
      </c>
      <c r="F251" s="81">
        <v>0.336096842105263</v>
      </c>
      <c r="G251" s="81">
        <v>0.354526315789474</v>
      </c>
    </row>
    <row r="252" ht="15.75" spans="1:7">
      <c r="A252" s="78" t="s">
        <v>220</v>
      </c>
      <c r="B252" s="74">
        <v>24.35</v>
      </c>
      <c r="C252" s="79">
        <f t="shared" si="3"/>
        <v>19</v>
      </c>
      <c r="D252" s="80">
        <v>0.906149897330595</v>
      </c>
      <c r="E252" s="80">
        <v>0.343689938398357</v>
      </c>
      <c r="F252" s="81">
        <v>0.350137166324435</v>
      </c>
      <c r="G252" s="81">
        <v>0.364517453798768</v>
      </c>
    </row>
    <row r="253" ht="15.75" spans="1:7">
      <c r="A253" s="78" t="s">
        <v>221</v>
      </c>
      <c r="B253" s="286">
        <v>36.27</v>
      </c>
      <c r="C253" s="79">
        <f t="shared" si="3"/>
        <v>24.35</v>
      </c>
      <c r="D253" s="80">
        <v>0.936993382961125</v>
      </c>
      <c r="E253" s="80">
        <v>0.362196029776675</v>
      </c>
      <c r="F253" s="81">
        <v>0.366524400330852</v>
      </c>
      <c r="G253" s="81">
        <v>0.376178660049628</v>
      </c>
    </row>
    <row r="254" ht="15.75" spans="1:7">
      <c r="A254" s="78" t="s">
        <v>221</v>
      </c>
      <c r="B254" s="257" t="s">
        <v>386</v>
      </c>
      <c r="C254" s="79">
        <f t="shared" si="3"/>
        <v>36.27</v>
      </c>
      <c r="D254" s="117"/>
      <c r="E254" s="83"/>
      <c r="F254" s="84"/>
      <c r="G254" s="84"/>
    </row>
    <row r="255" spans="1:7">
      <c r="A255" s="78"/>
      <c r="B255" s="78">
        <v>5.4</v>
      </c>
      <c r="C255" s="78"/>
      <c r="D255" s="117"/>
      <c r="E255" s="85">
        <v>0.0903069808444313</v>
      </c>
      <c r="F255" s="86">
        <v>0.101634577704176</v>
      </c>
      <c r="G255" s="86">
        <v>0.137780208120954</v>
      </c>
    </row>
    <row r="256" ht="48.75" spans="1:7">
      <c r="A256" s="87" t="s">
        <v>233</v>
      </c>
      <c r="B256" s="257">
        <v>2.4</v>
      </c>
      <c r="C256" s="78"/>
      <c r="D256" s="117"/>
      <c r="E256" s="127">
        <v>3.80875</v>
      </c>
      <c r="F256" s="128">
        <v>3.37266666666667</v>
      </c>
      <c r="G256" s="129">
        <v>2.4</v>
      </c>
    </row>
    <row r="257" ht="48.75" spans="1:7">
      <c r="A257" s="87" t="s">
        <v>224</v>
      </c>
      <c r="B257" s="116">
        <v>4.8</v>
      </c>
      <c r="C257" s="78"/>
      <c r="D257" s="83"/>
      <c r="E257" s="83"/>
      <c r="F257" s="84"/>
      <c r="G257" s="84"/>
    </row>
    <row r="258" ht="84.75" spans="1:7">
      <c r="A258" s="106" t="s">
        <v>225</v>
      </c>
      <c r="B258" s="116">
        <v>1.44</v>
      </c>
      <c r="C258" s="78"/>
      <c r="D258" s="83"/>
      <c r="E258" s="83">
        <v>2.28525</v>
      </c>
      <c r="F258" s="84">
        <v>2.0236</v>
      </c>
      <c r="G258" s="84">
        <v>1.44</v>
      </c>
    </row>
    <row r="261" spans="1:3">
      <c r="A261" s="531" t="s">
        <v>226</v>
      </c>
      <c r="B261" s="95">
        <f>AVERAGE(B209:B248)</f>
        <v>3.80875</v>
      </c>
      <c r="C261" s="95"/>
    </row>
    <row r="262" spans="1:3">
      <c r="A262" s="531" t="s">
        <v>227</v>
      </c>
      <c r="B262" s="96">
        <f>AVERAGE(B214:B243)</f>
        <v>3.37266666666667</v>
      </c>
      <c r="C262" s="96"/>
    </row>
    <row r="263" spans="1:3">
      <c r="A263" s="531" t="s">
        <v>228</v>
      </c>
      <c r="B263" s="96">
        <f>AVERAGE(B220:B238)</f>
        <v>3.19947368421053</v>
      </c>
      <c r="C263" s="96"/>
    </row>
    <row r="265" ht="15.75"/>
    <row r="266" customHeight="1" spans="1:7">
      <c r="A266" s="252" t="s">
        <v>165</v>
      </c>
      <c r="B266" s="268" t="s">
        <v>363</v>
      </c>
      <c r="C266" s="269"/>
      <c r="D266" s="270"/>
      <c r="E266" s="70">
        <f>(1-E321)^(1/3)-1</f>
        <v>0</v>
      </c>
      <c r="F266" s="70">
        <f>(1-F321)^(1/3)-1</f>
        <v>0</v>
      </c>
      <c r="G266" s="70"/>
    </row>
    <row r="267" ht="72.75" spans="1:7">
      <c r="A267" s="253"/>
      <c r="B267" s="83" t="s">
        <v>167</v>
      </c>
      <c r="C267" s="130"/>
      <c r="D267" s="83" t="s">
        <v>168</v>
      </c>
      <c r="E267" s="83" t="s">
        <v>169</v>
      </c>
      <c r="F267" s="84" t="s">
        <v>169</v>
      </c>
      <c r="G267" s="84"/>
    </row>
    <row r="268" ht="24.75" spans="1:7">
      <c r="A268" s="254"/>
      <c r="B268" s="257" t="s">
        <v>364</v>
      </c>
      <c r="D268" s="271" t="s">
        <v>171</v>
      </c>
      <c r="E268" s="271" t="s">
        <v>171</v>
      </c>
      <c r="F268" s="271" t="s">
        <v>171</v>
      </c>
      <c r="G268" s="271"/>
    </row>
    <row r="269" ht="15.75" spans="1:7">
      <c r="A269" s="75">
        <v>1</v>
      </c>
      <c r="B269" s="76">
        <v>2</v>
      </c>
      <c r="D269" s="76">
        <v>3</v>
      </c>
      <c r="E269" s="76">
        <v>4</v>
      </c>
      <c r="F269" s="77">
        <v>5</v>
      </c>
      <c r="G269" s="77"/>
    </row>
    <row r="270" ht="15.75" spans="1:7">
      <c r="A270" s="533" t="s">
        <v>172</v>
      </c>
      <c r="B270" s="272"/>
      <c r="C270">
        <v>0</v>
      </c>
      <c r="D270" s="80">
        <f t="shared" ref="D270:D319" si="4">IF(B270=0,0,IF(B270&lt;=E$324,0,B270-E$324)/B270)</f>
        <v>0</v>
      </c>
      <c r="E270" s="80"/>
      <c r="F270" s="81"/>
      <c r="G270" s="81"/>
    </row>
    <row r="271" ht="15.75" spans="1:7">
      <c r="A271" s="533" t="s">
        <v>173</v>
      </c>
      <c r="B271" s="74"/>
      <c r="C271" s="79">
        <f>B270</f>
        <v>0</v>
      </c>
      <c r="D271" s="80">
        <f t="shared" si="4"/>
        <v>0</v>
      </c>
      <c r="E271" s="80"/>
      <c r="F271" s="81"/>
      <c r="G271" s="81"/>
    </row>
    <row r="272" ht="15.75" spans="1:7">
      <c r="A272" s="533" t="s">
        <v>174</v>
      </c>
      <c r="B272" s="74"/>
      <c r="C272" s="79">
        <f t="shared" ref="C272:C320" si="5">B271</f>
        <v>0</v>
      </c>
      <c r="D272" s="80">
        <f t="shared" si="4"/>
        <v>0</v>
      </c>
      <c r="E272" s="80"/>
      <c r="F272" s="81"/>
      <c r="G272" s="81"/>
    </row>
    <row r="273" ht="15.75" spans="1:7">
      <c r="A273" s="533" t="s">
        <v>175</v>
      </c>
      <c r="B273" s="74"/>
      <c r="C273" s="79">
        <f t="shared" si="5"/>
        <v>0</v>
      </c>
      <c r="D273" s="80">
        <f t="shared" si="4"/>
        <v>0</v>
      </c>
      <c r="E273" s="80"/>
      <c r="F273" s="81"/>
      <c r="G273" s="81"/>
    </row>
    <row r="274" ht="15.75" spans="1:7">
      <c r="A274" s="533" t="s">
        <v>176</v>
      </c>
      <c r="B274" s="74"/>
      <c r="C274" s="79">
        <f t="shared" si="5"/>
        <v>0</v>
      </c>
      <c r="D274" s="80">
        <f t="shared" si="4"/>
        <v>0</v>
      </c>
      <c r="E274" s="80"/>
      <c r="F274" s="81"/>
      <c r="G274" s="81"/>
    </row>
    <row r="275" ht="15.75" spans="1:7">
      <c r="A275" s="533" t="s">
        <v>177</v>
      </c>
      <c r="B275" s="74"/>
      <c r="C275" s="79">
        <f t="shared" si="5"/>
        <v>0</v>
      </c>
      <c r="D275" s="80">
        <f t="shared" si="4"/>
        <v>0</v>
      </c>
      <c r="E275" s="80"/>
      <c r="F275" s="81"/>
      <c r="G275" s="81"/>
    </row>
    <row r="276" ht="15.75" spans="1:7">
      <c r="A276" s="533" t="s">
        <v>178</v>
      </c>
      <c r="B276" s="74"/>
      <c r="C276" s="79">
        <f t="shared" si="5"/>
        <v>0</v>
      </c>
      <c r="D276" s="80">
        <f t="shared" si="4"/>
        <v>0</v>
      </c>
      <c r="E276" s="80"/>
      <c r="F276" s="81"/>
      <c r="G276" s="81"/>
    </row>
    <row r="277" ht="15.75" spans="1:7">
      <c r="A277" s="257" t="s">
        <v>179</v>
      </c>
      <c r="B277" s="74"/>
      <c r="C277" s="79">
        <f t="shared" si="5"/>
        <v>0</v>
      </c>
      <c r="D277" s="80">
        <f t="shared" si="4"/>
        <v>0</v>
      </c>
      <c r="E277" s="80"/>
      <c r="F277" s="81"/>
      <c r="G277" s="81"/>
    </row>
    <row r="278" ht="15.75" spans="1:7">
      <c r="A278" s="257" t="s">
        <v>180</v>
      </c>
      <c r="B278" s="74"/>
      <c r="C278" s="79">
        <f t="shared" si="5"/>
        <v>0</v>
      </c>
      <c r="D278" s="80">
        <f t="shared" si="4"/>
        <v>0</v>
      </c>
      <c r="E278" s="80"/>
      <c r="F278" s="81"/>
      <c r="G278" s="81"/>
    </row>
    <row r="279" ht="15.75" spans="1:7">
      <c r="A279" s="257" t="s">
        <v>181</v>
      </c>
      <c r="B279" s="74"/>
      <c r="C279" s="79">
        <f t="shared" si="5"/>
        <v>0</v>
      </c>
      <c r="D279" s="80">
        <f t="shared" si="4"/>
        <v>0</v>
      </c>
      <c r="E279" s="80"/>
      <c r="F279" s="81"/>
      <c r="G279" s="81"/>
    </row>
    <row r="280" ht="15.75" spans="1:7">
      <c r="A280" s="257" t="s">
        <v>182</v>
      </c>
      <c r="B280" s="74"/>
      <c r="C280" s="79">
        <f t="shared" si="5"/>
        <v>0</v>
      </c>
      <c r="D280" s="80">
        <f t="shared" si="4"/>
        <v>0</v>
      </c>
      <c r="E280" s="80"/>
      <c r="F280" s="81"/>
      <c r="G280" s="81"/>
    </row>
    <row r="281" ht="15.75" spans="1:7">
      <c r="A281" s="257" t="s">
        <v>183</v>
      </c>
      <c r="B281" s="74"/>
      <c r="C281" s="79">
        <f t="shared" si="5"/>
        <v>0</v>
      </c>
      <c r="D281" s="80">
        <f t="shared" si="4"/>
        <v>0</v>
      </c>
      <c r="E281" s="80"/>
      <c r="F281" s="81"/>
      <c r="G281" s="81"/>
    </row>
    <row r="282" ht="15.75" spans="1:7">
      <c r="A282" s="257" t="s">
        <v>184</v>
      </c>
      <c r="B282" s="74"/>
      <c r="C282" s="79">
        <f t="shared" si="5"/>
        <v>0</v>
      </c>
      <c r="D282" s="80">
        <f t="shared" si="4"/>
        <v>0</v>
      </c>
      <c r="E282" s="80"/>
      <c r="F282" s="81"/>
      <c r="G282" s="81"/>
    </row>
    <row r="283" ht="15.75" spans="1:7">
      <c r="A283" s="257" t="s">
        <v>185</v>
      </c>
      <c r="B283" s="74"/>
      <c r="C283" s="79">
        <f t="shared" si="5"/>
        <v>0</v>
      </c>
      <c r="D283" s="80">
        <f t="shared" si="4"/>
        <v>0</v>
      </c>
      <c r="E283" s="80"/>
      <c r="F283" s="81"/>
      <c r="G283" s="81"/>
    </row>
    <row r="284" ht="15.75" spans="1:7">
      <c r="A284" s="257" t="s">
        <v>186</v>
      </c>
      <c r="B284" s="74"/>
      <c r="C284" s="79">
        <f t="shared" si="5"/>
        <v>0</v>
      </c>
      <c r="D284" s="80">
        <f t="shared" si="4"/>
        <v>0</v>
      </c>
      <c r="E284" s="80"/>
      <c r="F284" s="81"/>
      <c r="G284" s="81"/>
    </row>
    <row r="285" ht="15.75" spans="1:7">
      <c r="A285" s="257" t="s">
        <v>187</v>
      </c>
      <c r="B285" s="74"/>
      <c r="C285" s="79">
        <f t="shared" si="5"/>
        <v>0</v>
      </c>
      <c r="D285" s="80">
        <f t="shared" si="4"/>
        <v>0</v>
      </c>
      <c r="E285" s="80"/>
      <c r="F285" s="81"/>
      <c r="G285" s="81"/>
    </row>
    <row r="286" ht="15.75" spans="1:7">
      <c r="A286" s="257" t="s">
        <v>188</v>
      </c>
      <c r="B286" s="74"/>
      <c r="C286" s="79">
        <f t="shared" si="5"/>
        <v>0</v>
      </c>
      <c r="D286" s="80">
        <f t="shared" si="4"/>
        <v>0</v>
      </c>
      <c r="E286" s="80"/>
      <c r="F286" s="81"/>
      <c r="G286" s="81"/>
    </row>
    <row r="287" ht="15.75" spans="1:7">
      <c r="A287" s="257" t="s">
        <v>189</v>
      </c>
      <c r="B287" s="74"/>
      <c r="C287" s="79">
        <f t="shared" si="5"/>
        <v>0</v>
      </c>
      <c r="D287" s="80">
        <f t="shared" si="4"/>
        <v>0</v>
      </c>
      <c r="E287" s="80"/>
      <c r="F287" s="81"/>
      <c r="G287" s="81"/>
    </row>
    <row r="288" ht="15.75" spans="1:7">
      <c r="A288" s="257" t="s">
        <v>190</v>
      </c>
      <c r="B288" s="74"/>
      <c r="C288" s="79">
        <f t="shared" si="5"/>
        <v>0</v>
      </c>
      <c r="D288" s="80">
        <f t="shared" si="4"/>
        <v>0</v>
      </c>
      <c r="E288" s="80"/>
      <c r="F288" s="81"/>
      <c r="G288" s="81"/>
    </row>
    <row r="289" ht="15.75" spans="1:7">
      <c r="A289" s="257" t="s">
        <v>191</v>
      </c>
      <c r="B289" s="74"/>
      <c r="C289" s="79">
        <f t="shared" si="5"/>
        <v>0</v>
      </c>
      <c r="D289" s="80">
        <f t="shared" si="4"/>
        <v>0</v>
      </c>
      <c r="E289" s="80"/>
      <c r="F289" s="81"/>
      <c r="G289" s="81"/>
    </row>
    <row r="290" ht="15.75" spans="1:7">
      <c r="A290" s="257" t="s">
        <v>192</v>
      </c>
      <c r="B290" s="74"/>
      <c r="C290" s="79">
        <f t="shared" si="5"/>
        <v>0</v>
      </c>
      <c r="D290" s="80">
        <f t="shared" si="4"/>
        <v>0</v>
      </c>
      <c r="E290" s="80"/>
      <c r="F290" s="81"/>
      <c r="G290" s="81"/>
    </row>
    <row r="291" ht="15.75" spans="1:7">
      <c r="A291" s="257" t="s">
        <v>193</v>
      </c>
      <c r="B291" s="74"/>
      <c r="C291" s="79">
        <f t="shared" si="5"/>
        <v>0</v>
      </c>
      <c r="D291" s="80">
        <f t="shared" si="4"/>
        <v>0</v>
      </c>
      <c r="E291" s="80"/>
      <c r="F291" s="81"/>
      <c r="G291" s="81"/>
    </row>
    <row r="292" ht="15.75" spans="1:7">
      <c r="A292" s="257" t="s">
        <v>194</v>
      </c>
      <c r="B292" s="74"/>
      <c r="C292" s="79">
        <f t="shared" si="5"/>
        <v>0</v>
      </c>
      <c r="D292" s="80">
        <f t="shared" si="4"/>
        <v>0</v>
      </c>
      <c r="E292" s="80"/>
      <c r="F292" s="81"/>
      <c r="G292" s="81"/>
    </row>
    <row r="293" ht="15.75" spans="1:7">
      <c r="A293" s="257" t="s">
        <v>195</v>
      </c>
      <c r="B293" s="74"/>
      <c r="C293" s="79">
        <f t="shared" si="5"/>
        <v>0</v>
      </c>
      <c r="D293" s="80">
        <f t="shared" si="4"/>
        <v>0</v>
      </c>
      <c r="E293" s="80"/>
      <c r="F293" s="81"/>
      <c r="G293" s="81"/>
    </row>
    <row r="294" ht="15.75" spans="1:7">
      <c r="A294" s="257" t="s">
        <v>196</v>
      </c>
      <c r="B294" s="74"/>
      <c r="C294" s="79">
        <f t="shared" si="5"/>
        <v>0</v>
      </c>
      <c r="D294" s="80">
        <f t="shared" si="4"/>
        <v>0</v>
      </c>
      <c r="E294" s="80"/>
      <c r="F294" s="81"/>
      <c r="G294" s="81"/>
    </row>
    <row r="295" ht="15.75" spans="1:7">
      <c r="A295" s="257" t="s">
        <v>197</v>
      </c>
      <c r="B295" s="74"/>
      <c r="C295" s="79">
        <f t="shared" si="5"/>
        <v>0</v>
      </c>
      <c r="D295" s="80">
        <f t="shared" si="4"/>
        <v>0</v>
      </c>
      <c r="E295" s="80"/>
      <c r="F295" s="81"/>
      <c r="G295" s="81"/>
    </row>
    <row r="296" ht="15.75" spans="1:7">
      <c r="A296" s="257" t="s">
        <v>198</v>
      </c>
      <c r="B296" s="74"/>
      <c r="C296" s="79">
        <f t="shared" si="5"/>
        <v>0</v>
      </c>
      <c r="D296" s="80">
        <f t="shared" si="4"/>
        <v>0</v>
      </c>
      <c r="E296" s="80"/>
      <c r="F296" s="81"/>
      <c r="G296" s="81"/>
    </row>
    <row r="297" ht="15.75" spans="1:7">
      <c r="A297" s="257" t="s">
        <v>199</v>
      </c>
      <c r="B297" s="74"/>
      <c r="C297" s="79">
        <f t="shared" si="5"/>
        <v>0</v>
      </c>
      <c r="D297" s="80">
        <f t="shared" si="4"/>
        <v>0</v>
      </c>
      <c r="E297" s="80"/>
      <c r="F297" s="81"/>
      <c r="G297" s="81"/>
    </row>
    <row r="298" ht="15.75" spans="1:7">
      <c r="A298" s="257" t="s">
        <v>200</v>
      </c>
      <c r="B298" s="74"/>
      <c r="C298" s="79">
        <f t="shared" si="5"/>
        <v>0</v>
      </c>
      <c r="D298" s="80">
        <f t="shared" si="4"/>
        <v>0</v>
      </c>
      <c r="E298" s="80"/>
      <c r="F298" s="81"/>
      <c r="G298" s="81"/>
    </row>
    <row r="299" ht="15.75" spans="1:7">
      <c r="A299" s="257" t="s">
        <v>201</v>
      </c>
      <c r="B299" s="74"/>
      <c r="C299" s="79">
        <f t="shared" si="5"/>
        <v>0</v>
      </c>
      <c r="D299" s="80">
        <f t="shared" si="4"/>
        <v>0</v>
      </c>
      <c r="E299" s="80"/>
      <c r="F299" s="81"/>
      <c r="G299" s="81"/>
    </row>
    <row r="300" ht="15.75" spans="1:7">
      <c r="A300" s="257" t="s">
        <v>202</v>
      </c>
      <c r="B300" s="74"/>
      <c r="C300" s="79">
        <f t="shared" si="5"/>
        <v>0</v>
      </c>
      <c r="D300" s="80">
        <f t="shared" si="4"/>
        <v>0</v>
      </c>
      <c r="E300" s="80"/>
      <c r="F300" s="81"/>
      <c r="G300" s="81"/>
    </row>
    <row r="301" ht="15.75" spans="1:7">
      <c r="A301" s="257" t="s">
        <v>203</v>
      </c>
      <c r="B301" s="74"/>
      <c r="C301" s="79">
        <f t="shared" si="5"/>
        <v>0</v>
      </c>
      <c r="D301" s="80">
        <f t="shared" si="4"/>
        <v>0</v>
      </c>
      <c r="E301" s="80"/>
      <c r="F301" s="81"/>
      <c r="G301" s="81"/>
    </row>
    <row r="302" ht="15.75" spans="1:7">
      <c r="A302" s="257" t="s">
        <v>204</v>
      </c>
      <c r="B302" s="74"/>
      <c r="C302" s="79">
        <f t="shared" si="5"/>
        <v>0</v>
      </c>
      <c r="D302" s="80">
        <f t="shared" si="4"/>
        <v>0</v>
      </c>
      <c r="E302" s="80"/>
      <c r="F302" s="81"/>
      <c r="G302" s="81"/>
    </row>
    <row r="303" ht="15.75" spans="1:7">
      <c r="A303" s="257" t="s">
        <v>205</v>
      </c>
      <c r="B303" s="74"/>
      <c r="C303" s="79">
        <f t="shared" si="5"/>
        <v>0</v>
      </c>
      <c r="D303" s="80">
        <f t="shared" si="4"/>
        <v>0</v>
      </c>
      <c r="E303" s="80"/>
      <c r="F303" s="81"/>
      <c r="G303" s="81"/>
    </row>
    <row r="304" ht="15.75" spans="1:7">
      <c r="A304" s="257" t="s">
        <v>206</v>
      </c>
      <c r="B304" s="74"/>
      <c r="C304" s="79">
        <f t="shared" si="5"/>
        <v>0</v>
      </c>
      <c r="D304" s="80">
        <f t="shared" si="4"/>
        <v>0</v>
      </c>
      <c r="E304" s="80"/>
      <c r="F304" s="81"/>
      <c r="G304" s="81"/>
    </row>
    <row r="305" ht="15.75" spans="1:7">
      <c r="A305" s="257" t="s">
        <v>207</v>
      </c>
      <c r="B305" s="74"/>
      <c r="C305" s="79">
        <f t="shared" si="5"/>
        <v>0</v>
      </c>
      <c r="D305" s="80">
        <f t="shared" si="4"/>
        <v>0</v>
      </c>
      <c r="E305" s="80"/>
      <c r="F305" s="81"/>
      <c r="G305" s="81"/>
    </row>
    <row r="306" ht="15.75" spans="1:7">
      <c r="A306" s="257" t="s">
        <v>208</v>
      </c>
      <c r="B306" s="74"/>
      <c r="C306" s="79">
        <f t="shared" si="5"/>
        <v>0</v>
      </c>
      <c r="D306" s="80">
        <f t="shared" si="4"/>
        <v>0</v>
      </c>
      <c r="E306" s="80"/>
      <c r="F306" s="81"/>
      <c r="G306" s="81"/>
    </row>
    <row r="307" ht="15.75" spans="1:7">
      <c r="A307" s="257" t="s">
        <v>209</v>
      </c>
      <c r="B307" s="74"/>
      <c r="C307" s="79">
        <f t="shared" si="5"/>
        <v>0</v>
      </c>
      <c r="D307" s="80">
        <f t="shared" si="4"/>
        <v>0</v>
      </c>
      <c r="E307" s="80"/>
      <c r="F307" s="81"/>
      <c r="G307" s="81"/>
    </row>
    <row r="308" ht="15.75" spans="1:7">
      <c r="A308" s="257" t="s">
        <v>210</v>
      </c>
      <c r="B308" s="74"/>
      <c r="C308" s="79">
        <f t="shared" si="5"/>
        <v>0</v>
      </c>
      <c r="D308" s="80">
        <f t="shared" si="4"/>
        <v>0</v>
      </c>
      <c r="E308" s="80"/>
      <c r="F308" s="81"/>
      <c r="G308" s="81"/>
    </row>
    <row r="309" ht="15.75" spans="1:7">
      <c r="A309" s="257" t="s">
        <v>211</v>
      </c>
      <c r="B309" s="74"/>
      <c r="C309" s="79">
        <f t="shared" si="5"/>
        <v>0</v>
      </c>
      <c r="D309" s="80">
        <f t="shared" si="4"/>
        <v>0</v>
      </c>
      <c r="E309" s="80"/>
      <c r="F309" s="81"/>
      <c r="G309" s="81"/>
    </row>
    <row r="310" ht="15.75" spans="1:7">
      <c r="A310" s="257" t="s">
        <v>212</v>
      </c>
      <c r="B310" s="74"/>
      <c r="C310" s="79">
        <f t="shared" si="5"/>
        <v>0</v>
      </c>
      <c r="D310" s="80">
        <f t="shared" si="4"/>
        <v>0</v>
      </c>
      <c r="E310" s="80"/>
      <c r="F310" s="81"/>
      <c r="G310" s="81"/>
    </row>
    <row r="311" ht="15.75" spans="1:7">
      <c r="A311" s="257" t="s">
        <v>213</v>
      </c>
      <c r="B311" s="74"/>
      <c r="C311" s="79">
        <f t="shared" si="5"/>
        <v>0</v>
      </c>
      <c r="D311" s="80">
        <f t="shared" si="4"/>
        <v>0</v>
      </c>
      <c r="E311" s="80"/>
      <c r="F311" s="81"/>
      <c r="G311" s="81"/>
    </row>
    <row r="312" ht="15.75" spans="1:7">
      <c r="A312" s="257" t="s">
        <v>214</v>
      </c>
      <c r="B312" s="74"/>
      <c r="C312" s="79">
        <f t="shared" si="5"/>
        <v>0</v>
      </c>
      <c r="D312" s="80">
        <f t="shared" si="4"/>
        <v>0</v>
      </c>
      <c r="E312" s="80"/>
      <c r="F312" s="81"/>
      <c r="G312" s="81"/>
    </row>
    <row r="313" ht="15.75" spans="1:7">
      <c r="A313" s="257" t="s">
        <v>215</v>
      </c>
      <c r="B313" s="74"/>
      <c r="C313" s="79">
        <f t="shared" si="5"/>
        <v>0</v>
      </c>
      <c r="D313" s="80">
        <f t="shared" si="4"/>
        <v>0</v>
      </c>
      <c r="E313" s="80"/>
      <c r="F313" s="81"/>
      <c r="G313" s="81"/>
    </row>
    <row r="314" ht="15.75" spans="1:7">
      <c r="A314" s="257" t="s">
        <v>216</v>
      </c>
      <c r="B314" s="74"/>
      <c r="C314" s="79">
        <f t="shared" si="5"/>
        <v>0</v>
      </c>
      <c r="D314" s="80">
        <f t="shared" si="4"/>
        <v>0</v>
      </c>
      <c r="E314" s="80"/>
      <c r="F314" s="81"/>
      <c r="G314" s="81"/>
    </row>
    <row r="315" ht="15.75" spans="1:7">
      <c r="A315" s="257" t="s">
        <v>217</v>
      </c>
      <c r="B315" s="74"/>
      <c r="C315" s="79">
        <f t="shared" si="5"/>
        <v>0</v>
      </c>
      <c r="D315" s="80">
        <f t="shared" si="4"/>
        <v>0</v>
      </c>
      <c r="E315" s="80"/>
      <c r="F315" s="81"/>
      <c r="G315" s="81"/>
    </row>
    <row r="316" ht="15.75" spans="1:7">
      <c r="A316" s="257" t="s">
        <v>218</v>
      </c>
      <c r="B316" s="74"/>
      <c r="C316" s="79">
        <f t="shared" si="5"/>
        <v>0</v>
      </c>
      <c r="D316" s="80">
        <f t="shared" si="4"/>
        <v>0</v>
      </c>
      <c r="E316" s="80"/>
      <c r="F316" s="81"/>
      <c r="G316" s="81"/>
    </row>
    <row r="317" ht="15.75" spans="1:7">
      <c r="A317" s="257" t="s">
        <v>219</v>
      </c>
      <c r="B317" s="74"/>
      <c r="C317" s="79">
        <f t="shared" si="5"/>
        <v>0</v>
      </c>
      <c r="D317" s="80">
        <f t="shared" si="4"/>
        <v>0</v>
      </c>
      <c r="E317" s="80"/>
      <c r="F317" s="81"/>
      <c r="G317" s="81"/>
    </row>
    <row r="318" ht="15.75" spans="1:7">
      <c r="A318" s="257" t="s">
        <v>220</v>
      </c>
      <c r="B318" s="74"/>
      <c r="C318" s="79">
        <f t="shared" si="5"/>
        <v>0</v>
      </c>
      <c r="D318" s="80">
        <f t="shared" si="4"/>
        <v>0</v>
      </c>
      <c r="E318" s="80"/>
      <c r="F318" s="81"/>
      <c r="G318" s="81"/>
    </row>
    <row r="319" ht="15.75" spans="1:7">
      <c r="A319" s="257" t="s">
        <v>221</v>
      </c>
      <c r="B319" s="74"/>
      <c r="C319" s="79">
        <f t="shared" si="5"/>
        <v>0</v>
      </c>
      <c r="D319" s="80">
        <f t="shared" si="4"/>
        <v>0</v>
      </c>
      <c r="E319" s="80"/>
      <c r="F319" s="81"/>
      <c r="G319" s="81"/>
    </row>
    <row r="320" ht="15.75" spans="1:7">
      <c r="A320" s="257" t="s">
        <v>221</v>
      </c>
      <c r="B320" s="257"/>
      <c r="C320" s="79">
        <f t="shared" si="5"/>
        <v>0</v>
      </c>
      <c r="D320" s="260"/>
      <c r="E320" s="72"/>
      <c r="F320" s="73"/>
      <c r="G320" s="84"/>
    </row>
    <row r="321" ht="15.75" spans="1:7">
      <c r="A321" s="257"/>
      <c r="B321" s="257"/>
      <c r="D321" s="116"/>
      <c r="E321" s="261"/>
      <c r="F321" s="262"/>
      <c r="G321" s="262"/>
    </row>
    <row r="322" ht="48.75" spans="1:7">
      <c r="A322" s="256" t="s">
        <v>233</v>
      </c>
      <c r="B322" s="257"/>
      <c r="D322" s="116"/>
      <c r="E322" s="263"/>
      <c r="F322" s="264"/>
      <c r="G322" s="265"/>
    </row>
    <row r="323" ht="48.75" spans="1:7">
      <c r="A323" s="256" t="s">
        <v>224</v>
      </c>
      <c r="B323" s="116"/>
      <c r="D323" s="72"/>
      <c r="E323" s="72"/>
      <c r="F323" s="73"/>
      <c r="G323" s="73"/>
    </row>
    <row r="324" ht="84.75" spans="1:7">
      <c r="A324" s="266" t="s">
        <v>225</v>
      </c>
      <c r="B324" s="116"/>
      <c r="D324" s="72"/>
      <c r="E324" s="72">
        <f>0.6*E322</f>
        <v>0</v>
      </c>
      <c r="F324" s="73">
        <f>0.6*F322</f>
        <v>0</v>
      </c>
      <c r="G324" s="73"/>
    </row>
    <row r="327" spans="1:2">
      <c r="A327" s="531" t="s">
        <v>226</v>
      </c>
      <c r="B327" s="95" t="e">
        <f>AVERAGE(B275:B314)</f>
        <v>#DIV/0!</v>
      </c>
    </row>
    <row r="328" spans="1:2">
      <c r="A328" s="531" t="s">
        <v>227</v>
      </c>
      <c r="B328" s="96" t="e">
        <f>AVERAGE(B280:B309)</f>
        <v>#DIV/0!</v>
      </c>
    </row>
    <row r="329" spans="1:2">
      <c r="A329" s="531" t="s">
        <v>228</v>
      </c>
      <c r="B329" s="96" t="e">
        <f>AVERAGE(B286:B304)</f>
        <v>#DIV/0!</v>
      </c>
    </row>
    <row r="332" ht="15.75"/>
    <row r="333" customHeight="1" spans="1:7">
      <c r="A333" s="252" t="s">
        <v>165</v>
      </c>
      <c r="B333" s="268" t="s">
        <v>37</v>
      </c>
      <c r="C333" s="269"/>
      <c r="D333" s="270"/>
      <c r="E333" s="70">
        <f>(1-E388)^(1/3)-1</f>
        <v>0</v>
      </c>
      <c r="F333" s="70">
        <f>(1-F388)^(1/3)-1</f>
        <v>0</v>
      </c>
      <c r="G333" s="70"/>
    </row>
    <row r="334" ht="72.75" spans="1:7">
      <c r="A334" s="253"/>
      <c r="B334" s="254" t="s">
        <v>167</v>
      </c>
      <c r="D334" s="83" t="s">
        <v>168</v>
      </c>
      <c r="E334" s="83" t="s">
        <v>169</v>
      </c>
      <c r="F334" s="84" t="s">
        <v>169</v>
      </c>
      <c r="G334" s="84"/>
    </row>
    <row r="335" ht="24.75" spans="1:7">
      <c r="A335" s="254"/>
      <c r="B335" s="257" t="s">
        <v>365</v>
      </c>
      <c r="D335" s="271" t="s">
        <v>171</v>
      </c>
      <c r="E335" s="271" t="s">
        <v>171</v>
      </c>
      <c r="F335" s="271" t="s">
        <v>171</v>
      </c>
      <c r="G335" s="271"/>
    </row>
    <row r="336" ht="15.75" spans="1:7">
      <c r="A336" s="75">
        <v>1</v>
      </c>
      <c r="B336" s="76">
        <v>2</v>
      </c>
      <c r="C336" s="131"/>
      <c r="D336" s="76">
        <v>3</v>
      </c>
      <c r="E336" s="76">
        <v>4</v>
      </c>
      <c r="F336" s="77">
        <v>5</v>
      </c>
      <c r="G336" s="77"/>
    </row>
    <row r="337" ht="15.75" spans="1:7">
      <c r="A337" s="533" t="s">
        <v>172</v>
      </c>
      <c r="B337" s="272"/>
      <c r="C337">
        <v>0</v>
      </c>
      <c r="D337" s="80">
        <f t="shared" ref="D337:D386" si="6">IF(B337=0,0,IF(B337&lt;=E$391,0,B337-E$391)/B337)</f>
        <v>0</v>
      </c>
      <c r="E337" s="80"/>
      <c r="F337" s="81"/>
      <c r="G337" s="81"/>
    </row>
    <row r="338" ht="15.75" spans="1:7">
      <c r="A338" s="533" t="s">
        <v>173</v>
      </c>
      <c r="B338" s="74"/>
      <c r="C338" s="79">
        <f>B337</f>
        <v>0</v>
      </c>
      <c r="D338" s="80">
        <f t="shared" si="6"/>
        <v>0</v>
      </c>
      <c r="E338" s="80"/>
      <c r="F338" s="81"/>
      <c r="G338" s="81"/>
    </row>
    <row r="339" ht="15.75" spans="1:7">
      <c r="A339" s="533" t="s">
        <v>174</v>
      </c>
      <c r="B339" s="74"/>
      <c r="C339" s="79">
        <f t="shared" ref="C339:C387" si="7">B338</f>
        <v>0</v>
      </c>
      <c r="D339" s="80">
        <f t="shared" si="6"/>
        <v>0</v>
      </c>
      <c r="E339" s="80"/>
      <c r="F339" s="81"/>
      <c r="G339" s="81"/>
    </row>
    <row r="340" ht="15.75" spans="1:7">
      <c r="A340" s="533" t="s">
        <v>175</v>
      </c>
      <c r="B340" s="74"/>
      <c r="C340" s="79">
        <f t="shared" si="7"/>
        <v>0</v>
      </c>
      <c r="D340" s="80">
        <f t="shared" si="6"/>
        <v>0</v>
      </c>
      <c r="E340" s="80"/>
      <c r="F340" s="81"/>
      <c r="G340" s="81"/>
    </row>
    <row r="341" ht="15.75" spans="1:7">
      <c r="A341" s="533" t="s">
        <v>176</v>
      </c>
      <c r="B341" s="74"/>
      <c r="C341" s="79">
        <f t="shared" si="7"/>
        <v>0</v>
      </c>
      <c r="D341" s="80">
        <f t="shared" si="6"/>
        <v>0</v>
      </c>
      <c r="E341" s="80"/>
      <c r="F341" s="81"/>
      <c r="G341" s="81"/>
    </row>
    <row r="342" ht="15.75" spans="1:7">
      <c r="A342" s="533" t="s">
        <v>177</v>
      </c>
      <c r="B342" s="74"/>
      <c r="C342" s="79">
        <f t="shared" si="7"/>
        <v>0</v>
      </c>
      <c r="D342" s="80">
        <f t="shared" si="6"/>
        <v>0</v>
      </c>
      <c r="E342" s="80"/>
      <c r="F342" s="81"/>
      <c r="G342" s="81"/>
    </row>
    <row r="343" ht="15.75" spans="1:7">
      <c r="A343" s="533" t="s">
        <v>178</v>
      </c>
      <c r="B343" s="74"/>
      <c r="C343" s="79">
        <f t="shared" si="7"/>
        <v>0</v>
      </c>
      <c r="D343" s="80">
        <f t="shared" si="6"/>
        <v>0</v>
      </c>
      <c r="E343" s="80"/>
      <c r="F343" s="81"/>
      <c r="G343" s="81"/>
    </row>
    <row r="344" ht="15.75" spans="1:7">
      <c r="A344" s="257" t="s">
        <v>179</v>
      </c>
      <c r="B344" s="74"/>
      <c r="C344" s="79">
        <f t="shared" si="7"/>
        <v>0</v>
      </c>
      <c r="D344" s="80">
        <f t="shared" si="6"/>
        <v>0</v>
      </c>
      <c r="E344" s="80"/>
      <c r="F344" s="81"/>
      <c r="G344" s="81"/>
    </row>
    <row r="345" ht="15.75" spans="1:7">
      <c r="A345" s="257" t="s">
        <v>180</v>
      </c>
      <c r="B345" s="74"/>
      <c r="C345" s="79">
        <f t="shared" si="7"/>
        <v>0</v>
      </c>
      <c r="D345" s="80">
        <f t="shared" si="6"/>
        <v>0</v>
      </c>
      <c r="E345" s="80"/>
      <c r="F345" s="81"/>
      <c r="G345" s="81"/>
    </row>
    <row r="346" ht="15.75" spans="1:7">
      <c r="A346" s="257" t="s">
        <v>181</v>
      </c>
      <c r="B346" s="74"/>
      <c r="C346" s="79">
        <f t="shared" si="7"/>
        <v>0</v>
      </c>
      <c r="D346" s="80">
        <f t="shared" si="6"/>
        <v>0</v>
      </c>
      <c r="E346" s="80"/>
      <c r="F346" s="81"/>
      <c r="G346" s="81"/>
    </row>
    <row r="347" ht="15.75" spans="1:7">
      <c r="A347" s="257" t="s">
        <v>182</v>
      </c>
      <c r="B347" s="74"/>
      <c r="C347" s="79">
        <f t="shared" si="7"/>
        <v>0</v>
      </c>
      <c r="D347" s="80">
        <f t="shared" si="6"/>
        <v>0</v>
      </c>
      <c r="E347" s="80"/>
      <c r="F347" s="81"/>
      <c r="G347" s="81"/>
    </row>
    <row r="348" ht="15.75" spans="1:7">
      <c r="A348" s="257" t="s">
        <v>183</v>
      </c>
      <c r="B348" s="74"/>
      <c r="C348" s="79">
        <f t="shared" si="7"/>
        <v>0</v>
      </c>
      <c r="D348" s="80">
        <f t="shared" si="6"/>
        <v>0</v>
      </c>
      <c r="E348" s="80"/>
      <c r="F348" s="81"/>
      <c r="G348" s="81"/>
    </row>
    <row r="349" ht="15.75" spans="1:7">
      <c r="A349" s="257" t="s">
        <v>184</v>
      </c>
      <c r="B349" s="74"/>
      <c r="C349" s="79">
        <f t="shared" si="7"/>
        <v>0</v>
      </c>
      <c r="D349" s="80">
        <f t="shared" si="6"/>
        <v>0</v>
      </c>
      <c r="E349" s="80"/>
      <c r="F349" s="81"/>
      <c r="G349" s="81"/>
    </row>
    <row r="350" ht="15.75" spans="1:7">
      <c r="A350" s="257" t="s">
        <v>185</v>
      </c>
      <c r="B350" s="74"/>
      <c r="C350" s="79">
        <f t="shared" si="7"/>
        <v>0</v>
      </c>
      <c r="D350" s="80">
        <f t="shared" si="6"/>
        <v>0</v>
      </c>
      <c r="E350" s="80"/>
      <c r="F350" s="81"/>
      <c r="G350" s="81"/>
    </row>
    <row r="351" ht="15.75" spans="1:7">
      <c r="A351" s="257" t="s">
        <v>186</v>
      </c>
      <c r="B351" s="74"/>
      <c r="C351" s="79">
        <f t="shared" si="7"/>
        <v>0</v>
      </c>
      <c r="D351" s="80">
        <f t="shared" si="6"/>
        <v>0</v>
      </c>
      <c r="E351" s="80"/>
      <c r="F351" s="81"/>
      <c r="G351" s="81"/>
    </row>
    <row r="352" ht="15.75" spans="1:7">
      <c r="A352" s="257" t="s">
        <v>187</v>
      </c>
      <c r="B352" s="74"/>
      <c r="C352" s="79">
        <f t="shared" si="7"/>
        <v>0</v>
      </c>
      <c r="D352" s="80">
        <f t="shared" si="6"/>
        <v>0</v>
      </c>
      <c r="E352" s="80"/>
      <c r="F352" s="81"/>
      <c r="G352" s="81"/>
    </row>
    <row r="353" ht="15.75" spans="1:7">
      <c r="A353" s="257" t="s">
        <v>188</v>
      </c>
      <c r="B353" s="74"/>
      <c r="C353" s="79">
        <f t="shared" si="7"/>
        <v>0</v>
      </c>
      <c r="D353" s="80">
        <f t="shared" si="6"/>
        <v>0</v>
      </c>
      <c r="E353" s="80"/>
      <c r="F353" s="81"/>
      <c r="G353" s="81"/>
    </row>
    <row r="354" ht="15.75" spans="1:7">
      <c r="A354" s="257" t="s">
        <v>189</v>
      </c>
      <c r="B354" s="74"/>
      <c r="C354" s="79">
        <f t="shared" si="7"/>
        <v>0</v>
      </c>
      <c r="D354" s="80">
        <f t="shared" si="6"/>
        <v>0</v>
      </c>
      <c r="E354" s="80"/>
      <c r="F354" s="81"/>
      <c r="G354" s="81"/>
    </row>
    <row r="355" ht="15.75" spans="1:7">
      <c r="A355" s="257" t="s">
        <v>190</v>
      </c>
      <c r="B355" s="74"/>
      <c r="C355" s="79">
        <f t="shared" si="7"/>
        <v>0</v>
      </c>
      <c r="D355" s="80">
        <f t="shared" si="6"/>
        <v>0</v>
      </c>
      <c r="E355" s="80"/>
      <c r="F355" s="81"/>
      <c r="G355" s="81"/>
    </row>
    <row r="356" ht="15.75" spans="1:7">
      <c r="A356" s="257" t="s">
        <v>191</v>
      </c>
      <c r="B356" s="74"/>
      <c r="C356" s="79">
        <f t="shared" si="7"/>
        <v>0</v>
      </c>
      <c r="D356" s="80">
        <f t="shared" si="6"/>
        <v>0</v>
      </c>
      <c r="E356" s="80"/>
      <c r="F356" s="81"/>
      <c r="G356" s="81"/>
    </row>
    <row r="357" ht="15.75" spans="1:7">
      <c r="A357" s="257" t="s">
        <v>192</v>
      </c>
      <c r="B357" s="74"/>
      <c r="C357" s="79">
        <f t="shared" si="7"/>
        <v>0</v>
      </c>
      <c r="D357" s="80">
        <f t="shared" si="6"/>
        <v>0</v>
      </c>
      <c r="E357" s="80"/>
      <c r="F357" s="81"/>
      <c r="G357" s="81"/>
    </row>
    <row r="358" ht="15.75" spans="1:7">
      <c r="A358" s="257" t="s">
        <v>193</v>
      </c>
      <c r="B358" s="74"/>
      <c r="C358" s="79">
        <f t="shared" si="7"/>
        <v>0</v>
      </c>
      <c r="D358" s="80">
        <f t="shared" si="6"/>
        <v>0</v>
      </c>
      <c r="E358" s="80"/>
      <c r="F358" s="81"/>
      <c r="G358" s="81"/>
    </row>
    <row r="359" ht="15.75" spans="1:7">
      <c r="A359" s="257" t="s">
        <v>194</v>
      </c>
      <c r="B359" s="74"/>
      <c r="C359" s="79">
        <f t="shared" si="7"/>
        <v>0</v>
      </c>
      <c r="D359" s="80">
        <f t="shared" si="6"/>
        <v>0</v>
      </c>
      <c r="E359" s="80"/>
      <c r="F359" s="81"/>
      <c r="G359" s="81"/>
    </row>
    <row r="360" ht="15.75" spans="1:7">
      <c r="A360" s="257" t="s">
        <v>195</v>
      </c>
      <c r="B360" s="74"/>
      <c r="C360" s="79">
        <f t="shared" si="7"/>
        <v>0</v>
      </c>
      <c r="D360" s="80">
        <f t="shared" si="6"/>
        <v>0</v>
      </c>
      <c r="E360" s="80"/>
      <c r="F360" s="81"/>
      <c r="G360" s="81"/>
    </row>
    <row r="361" ht="15.75" spans="1:7">
      <c r="A361" s="257" t="s">
        <v>196</v>
      </c>
      <c r="B361" s="74"/>
      <c r="C361" s="79">
        <f t="shared" si="7"/>
        <v>0</v>
      </c>
      <c r="D361" s="80">
        <f t="shared" si="6"/>
        <v>0</v>
      </c>
      <c r="E361" s="80"/>
      <c r="F361" s="81"/>
      <c r="G361" s="81"/>
    </row>
    <row r="362" ht="15.75" spans="1:7">
      <c r="A362" s="257" t="s">
        <v>197</v>
      </c>
      <c r="B362" s="74"/>
      <c r="C362" s="79">
        <f t="shared" si="7"/>
        <v>0</v>
      </c>
      <c r="D362" s="80">
        <f t="shared" si="6"/>
        <v>0</v>
      </c>
      <c r="E362" s="80"/>
      <c r="F362" s="81"/>
      <c r="G362" s="81"/>
    </row>
    <row r="363" ht="15.75" spans="1:7">
      <c r="A363" s="257" t="s">
        <v>198</v>
      </c>
      <c r="B363" s="74"/>
      <c r="C363" s="79">
        <f t="shared" si="7"/>
        <v>0</v>
      </c>
      <c r="D363" s="80">
        <f t="shared" si="6"/>
        <v>0</v>
      </c>
      <c r="E363" s="80"/>
      <c r="F363" s="81"/>
      <c r="G363" s="81"/>
    </row>
    <row r="364" ht="15.75" spans="1:7">
      <c r="A364" s="257" t="s">
        <v>199</v>
      </c>
      <c r="B364" s="74"/>
      <c r="C364" s="79">
        <f t="shared" si="7"/>
        <v>0</v>
      </c>
      <c r="D364" s="80">
        <f t="shared" si="6"/>
        <v>0</v>
      </c>
      <c r="E364" s="80"/>
      <c r="F364" s="81"/>
      <c r="G364" s="81"/>
    </row>
    <row r="365" ht="15.75" spans="1:7">
      <c r="A365" s="257" t="s">
        <v>200</v>
      </c>
      <c r="B365" s="74"/>
      <c r="C365" s="79">
        <f t="shared" si="7"/>
        <v>0</v>
      </c>
      <c r="D365" s="80">
        <f t="shared" si="6"/>
        <v>0</v>
      </c>
      <c r="E365" s="80"/>
      <c r="F365" s="81"/>
      <c r="G365" s="81"/>
    </row>
    <row r="366" ht="15.75" spans="1:7">
      <c r="A366" s="257" t="s">
        <v>201</v>
      </c>
      <c r="B366" s="74"/>
      <c r="C366" s="79">
        <f t="shared" si="7"/>
        <v>0</v>
      </c>
      <c r="D366" s="80">
        <f t="shared" si="6"/>
        <v>0</v>
      </c>
      <c r="E366" s="80"/>
      <c r="F366" s="81"/>
      <c r="G366" s="81"/>
    </row>
    <row r="367" ht="15.75" spans="1:7">
      <c r="A367" s="257" t="s">
        <v>202</v>
      </c>
      <c r="B367" s="74"/>
      <c r="C367" s="79">
        <f t="shared" si="7"/>
        <v>0</v>
      </c>
      <c r="D367" s="80">
        <f t="shared" si="6"/>
        <v>0</v>
      </c>
      <c r="E367" s="80"/>
      <c r="F367" s="81"/>
      <c r="G367" s="81"/>
    </row>
    <row r="368" ht="15.75" spans="1:7">
      <c r="A368" s="257" t="s">
        <v>203</v>
      </c>
      <c r="B368" s="74"/>
      <c r="C368" s="79">
        <f t="shared" si="7"/>
        <v>0</v>
      </c>
      <c r="D368" s="80">
        <f t="shared" si="6"/>
        <v>0</v>
      </c>
      <c r="E368" s="80"/>
      <c r="F368" s="81"/>
      <c r="G368" s="81"/>
    </row>
    <row r="369" ht="15.75" spans="1:7">
      <c r="A369" s="257" t="s">
        <v>204</v>
      </c>
      <c r="B369" s="74"/>
      <c r="C369" s="79">
        <f t="shared" si="7"/>
        <v>0</v>
      </c>
      <c r="D369" s="80">
        <f t="shared" si="6"/>
        <v>0</v>
      </c>
      <c r="E369" s="80"/>
      <c r="F369" s="81"/>
      <c r="G369" s="81"/>
    </row>
    <row r="370" ht="15.75" spans="1:7">
      <c r="A370" s="257" t="s">
        <v>205</v>
      </c>
      <c r="B370" s="74"/>
      <c r="C370" s="79">
        <f t="shared" si="7"/>
        <v>0</v>
      </c>
      <c r="D370" s="80">
        <f t="shared" si="6"/>
        <v>0</v>
      </c>
      <c r="E370" s="80"/>
      <c r="F370" s="81"/>
      <c r="G370" s="81"/>
    </row>
    <row r="371" ht="15.75" spans="1:7">
      <c r="A371" s="257" t="s">
        <v>206</v>
      </c>
      <c r="B371" s="74"/>
      <c r="C371" s="79">
        <f t="shared" si="7"/>
        <v>0</v>
      </c>
      <c r="D371" s="80">
        <f t="shared" si="6"/>
        <v>0</v>
      </c>
      <c r="E371" s="80"/>
      <c r="F371" s="81"/>
      <c r="G371" s="81"/>
    </row>
    <row r="372" ht="15.75" spans="1:7">
      <c r="A372" s="257" t="s">
        <v>207</v>
      </c>
      <c r="B372" s="74"/>
      <c r="C372" s="79">
        <f t="shared" si="7"/>
        <v>0</v>
      </c>
      <c r="D372" s="80">
        <f t="shared" si="6"/>
        <v>0</v>
      </c>
      <c r="E372" s="80"/>
      <c r="F372" s="81"/>
      <c r="G372" s="81"/>
    </row>
    <row r="373" ht="15.75" spans="1:7">
      <c r="A373" s="257" t="s">
        <v>208</v>
      </c>
      <c r="B373" s="74"/>
      <c r="C373" s="79">
        <f t="shared" si="7"/>
        <v>0</v>
      </c>
      <c r="D373" s="80">
        <f t="shared" si="6"/>
        <v>0</v>
      </c>
      <c r="E373" s="80"/>
      <c r="F373" s="81"/>
      <c r="G373" s="81"/>
    </row>
    <row r="374" ht="15.75" spans="1:7">
      <c r="A374" s="257" t="s">
        <v>209</v>
      </c>
      <c r="B374" s="74"/>
      <c r="C374" s="79">
        <f t="shared" si="7"/>
        <v>0</v>
      </c>
      <c r="D374" s="80">
        <f t="shared" si="6"/>
        <v>0</v>
      </c>
      <c r="E374" s="80"/>
      <c r="F374" s="81"/>
      <c r="G374" s="81"/>
    </row>
    <row r="375" ht="15.75" spans="1:7">
      <c r="A375" s="257" t="s">
        <v>210</v>
      </c>
      <c r="B375" s="74"/>
      <c r="C375" s="79">
        <f t="shared" si="7"/>
        <v>0</v>
      </c>
      <c r="D375" s="80">
        <f t="shared" si="6"/>
        <v>0</v>
      </c>
      <c r="E375" s="80"/>
      <c r="F375" s="81"/>
      <c r="G375" s="81"/>
    </row>
    <row r="376" ht="15.75" spans="1:7">
      <c r="A376" s="257" t="s">
        <v>211</v>
      </c>
      <c r="B376" s="74"/>
      <c r="C376" s="79">
        <f t="shared" si="7"/>
        <v>0</v>
      </c>
      <c r="D376" s="80">
        <f t="shared" si="6"/>
        <v>0</v>
      </c>
      <c r="E376" s="80"/>
      <c r="F376" s="81"/>
      <c r="G376" s="81"/>
    </row>
    <row r="377" ht="15.75" spans="1:7">
      <c r="A377" s="257" t="s">
        <v>212</v>
      </c>
      <c r="B377" s="74"/>
      <c r="C377" s="79">
        <f t="shared" si="7"/>
        <v>0</v>
      </c>
      <c r="D377" s="80">
        <f t="shared" si="6"/>
        <v>0</v>
      </c>
      <c r="E377" s="80"/>
      <c r="F377" s="81"/>
      <c r="G377" s="81"/>
    </row>
    <row r="378" ht="15.75" spans="1:7">
      <c r="A378" s="257" t="s">
        <v>213</v>
      </c>
      <c r="B378" s="74"/>
      <c r="C378" s="79">
        <f t="shared" si="7"/>
        <v>0</v>
      </c>
      <c r="D378" s="80">
        <f t="shared" si="6"/>
        <v>0</v>
      </c>
      <c r="E378" s="80"/>
      <c r="F378" s="81"/>
      <c r="G378" s="81"/>
    </row>
    <row r="379" ht="15.75" spans="1:7">
      <c r="A379" s="257" t="s">
        <v>214</v>
      </c>
      <c r="B379" s="74"/>
      <c r="C379" s="79">
        <f t="shared" si="7"/>
        <v>0</v>
      </c>
      <c r="D379" s="80">
        <f t="shared" si="6"/>
        <v>0</v>
      </c>
      <c r="E379" s="80"/>
      <c r="F379" s="81"/>
      <c r="G379" s="81"/>
    </row>
    <row r="380" ht="15.75" spans="1:7">
      <c r="A380" s="257" t="s">
        <v>215</v>
      </c>
      <c r="B380" s="74"/>
      <c r="C380" s="79">
        <f t="shared" si="7"/>
        <v>0</v>
      </c>
      <c r="D380" s="80">
        <f t="shared" si="6"/>
        <v>0</v>
      </c>
      <c r="E380" s="80"/>
      <c r="F380" s="81"/>
      <c r="G380" s="81"/>
    </row>
    <row r="381" ht="15.75" spans="1:7">
      <c r="A381" s="257" t="s">
        <v>216</v>
      </c>
      <c r="B381" s="74"/>
      <c r="C381" s="79">
        <f t="shared" si="7"/>
        <v>0</v>
      </c>
      <c r="D381" s="80">
        <f t="shared" si="6"/>
        <v>0</v>
      </c>
      <c r="E381" s="80"/>
      <c r="F381" s="81"/>
      <c r="G381" s="81"/>
    </row>
    <row r="382" ht="15.75" spans="1:7">
      <c r="A382" s="257" t="s">
        <v>217</v>
      </c>
      <c r="B382" s="74"/>
      <c r="C382" s="79">
        <f t="shared" si="7"/>
        <v>0</v>
      </c>
      <c r="D382" s="80">
        <f t="shared" si="6"/>
        <v>0</v>
      </c>
      <c r="E382" s="80"/>
      <c r="F382" s="81"/>
      <c r="G382" s="81"/>
    </row>
    <row r="383" ht="15.75" spans="1:7">
      <c r="A383" s="257" t="s">
        <v>218</v>
      </c>
      <c r="B383" s="74"/>
      <c r="C383" s="79">
        <f t="shared" si="7"/>
        <v>0</v>
      </c>
      <c r="D383" s="80">
        <f t="shared" si="6"/>
        <v>0</v>
      </c>
      <c r="E383" s="80"/>
      <c r="F383" s="81"/>
      <c r="G383" s="81"/>
    </row>
    <row r="384" ht="15.75" spans="1:7">
      <c r="A384" s="257" t="s">
        <v>219</v>
      </c>
      <c r="B384" s="74"/>
      <c r="C384" s="79">
        <f t="shared" si="7"/>
        <v>0</v>
      </c>
      <c r="D384" s="80">
        <f t="shared" si="6"/>
        <v>0</v>
      </c>
      <c r="E384" s="80"/>
      <c r="F384" s="81"/>
      <c r="G384" s="81"/>
    </row>
    <row r="385" ht="15.75" spans="1:7">
      <c r="A385" s="257" t="s">
        <v>220</v>
      </c>
      <c r="B385" s="74"/>
      <c r="C385" s="79">
        <f t="shared" si="7"/>
        <v>0</v>
      </c>
      <c r="D385" s="80">
        <f t="shared" si="6"/>
        <v>0</v>
      </c>
      <c r="E385" s="80"/>
      <c r="F385" s="81"/>
      <c r="G385" s="81"/>
    </row>
    <row r="386" ht="15.75" spans="1:7">
      <c r="A386" s="257" t="s">
        <v>221</v>
      </c>
      <c r="B386" s="259"/>
      <c r="C386" s="79">
        <f t="shared" si="7"/>
        <v>0</v>
      </c>
      <c r="D386" s="80">
        <f t="shared" si="6"/>
        <v>0</v>
      </c>
      <c r="E386" s="80"/>
      <c r="F386" s="81"/>
      <c r="G386" s="81"/>
    </row>
    <row r="387" ht="15.75" spans="1:7">
      <c r="A387" s="257" t="s">
        <v>221</v>
      </c>
      <c r="B387" s="257"/>
      <c r="C387" s="79">
        <f t="shared" si="7"/>
        <v>0</v>
      </c>
      <c r="D387" s="260" t="s">
        <v>124</v>
      </c>
      <c r="E387" s="72"/>
      <c r="F387" s="73"/>
      <c r="G387" s="84"/>
    </row>
    <row r="388" ht="15.75" spans="1:7">
      <c r="A388" s="257"/>
      <c r="B388" s="257"/>
      <c r="D388" s="116" t="s">
        <v>124</v>
      </c>
      <c r="E388" s="261"/>
      <c r="F388" s="262"/>
      <c r="G388" s="262"/>
    </row>
    <row r="389" ht="48.75" spans="1:7">
      <c r="A389" s="256" t="s">
        <v>233</v>
      </c>
      <c r="B389" s="257"/>
      <c r="D389" s="116" t="s">
        <v>124</v>
      </c>
      <c r="E389" s="263"/>
      <c r="F389" s="264"/>
      <c r="G389" s="265"/>
    </row>
    <row r="390" ht="48.75" spans="1:7">
      <c r="A390" s="256" t="s">
        <v>224</v>
      </c>
      <c r="B390" s="116"/>
      <c r="D390" s="72"/>
      <c r="E390" s="72"/>
      <c r="F390" s="73"/>
      <c r="G390" s="73"/>
    </row>
    <row r="391" ht="84.75" spans="1:7">
      <c r="A391" s="266" t="s">
        <v>225</v>
      </c>
      <c r="B391" s="116"/>
      <c r="D391" s="72"/>
      <c r="E391" s="72">
        <f>0.6*E389</f>
        <v>0</v>
      </c>
      <c r="F391" s="73">
        <f>0.6*F389</f>
        <v>0</v>
      </c>
      <c r="G391" s="73"/>
    </row>
    <row r="394" spans="1:2">
      <c r="A394" s="531" t="s">
        <v>226</v>
      </c>
      <c r="B394" s="95" t="e">
        <f>AVERAGE(B342:B381)</f>
        <v>#DIV/0!</v>
      </c>
    </row>
    <row r="395" spans="1:2">
      <c r="A395" s="531" t="s">
        <v>227</v>
      </c>
      <c r="B395" s="96" t="e">
        <f>AVERAGE(B347:B376)</f>
        <v>#DIV/0!</v>
      </c>
    </row>
    <row r="396" spans="1:2">
      <c r="A396" s="531" t="s">
        <v>228</v>
      </c>
      <c r="B396" s="96" t="e">
        <f>AVERAGE(B353:B371)</f>
        <v>#DIV/0!</v>
      </c>
    </row>
    <row r="400" ht="15.75"/>
    <row r="401" ht="15.75" spans="1:7">
      <c r="A401" s="252" t="s">
        <v>165</v>
      </c>
      <c r="B401" s="273" t="s">
        <v>366</v>
      </c>
      <c r="C401" s="274"/>
      <c r="D401" s="275"/>
      <c r="E401" s="70">
        <f>(1-E456)^(1/3)-1</f>
        <v>0</v>
      </c>
      <c r="F401" s="70">
        <f>(1-F456)^(1/3)-1</f>
        <v>0</v>
      </c>
      <c r="G401" s="70"/>
    </row>
    <row r="402" ht="72.75" spans="1:7">
      <c r="A402" s="253"/>
      <c r="B402" s="254" t="s">
        <v>167</v>
      </c>
      <c r="C402">
        <v>0</v>
      </c>
      <c r="D402" s="72" t="s">
        <v>169</v>
      </c>
      <c r="E402" s="72" t="s">
        <v>169</v>
      </c>
      <c r="F402" s="73" t="s">
        <v>169</v>
      </c>
      <c r="G402" s="73"/>
    </row>
    <row r="403" ht="60.75" spans="1:6">
      <c r="A403" s="254"/>
      <c r="B403" s="116" t="s">
        <v>367</v>
      </c>
      <c r="C403" s="79" t="str">
        <f>B402</f>
        <v>Фактическое удельное годовое потребление</v>
      </c>
      <c r="D403" s="271" t="s">
        <v>171</v>
      </c>
      <c r="E403" s="536" t="s">
        <v>227</v>
      </c>
      <c r="F403" s="276"/>
    </row>
    <row r="404" ht="24.75" spans="1:7">
      <c r="A404" s="277">
        <v>1</v>
      </c>
      <c r="B404" s="277"/>
      <c r="C404" s="79" t="str">
        <f t="shared" ref="C404:C452" si="8">B403</f>
        <v>кгут / кв. м</v>
      </c>
      <c r="D404" s="116" t="s">
        <v>367</v>
      </c>
      <c r="E404" s="278">
        <v>5</v>
      </c>
      <c r="F404" s="279">
        <v>6</v>
      </c>
      <c r="G404" s="280"/>
    </row>
    <row r="405" ht="15.75" spans="1:7">
      <c r="A405" s="533" t="s">
        <v>172</v>
      </c>
      <c r="B405" s="257"/>
      <c r="C405" s="79">
        <f t="shared" si="8"/>
        <v>0</v>
      </c>
      <c r="D405" s="281"/>
      <c r="E405" s="80"/>
      <c r="F405" s="81"/>
      <c r="G405" s="81"/>
    </row>
    <row r="406" ht="15.75" spans="1:7">
      <c r="A406" s="533" t="s">
        <v>173</v>
      </c>
      <c r="B406" s="257"/>
      <c r="C406" s="79">
        <f t="shared" si="8"/>
        <v>0</v>
      </c>
      <c r="D406" s="116"/>
      <c r="E406" s="80"/>
      <c r="F406" s="81"/>
      <c r="G406" s="81"/>
    </row>
    <row r="407" ht="15.75" spans="1:7">
      <c r="A407" s="533" t="s">
        <v>174</v>
      </c>
      <c r="B407" s="257"/>
      <c r="C407" s="79">
        <f t="shared" si="8"/>
        <v>0</v>
      </c>
      <c r="D407" s="116"/>
      <c r="E407" s="80"/>
      <c r="F407" s="81"/>
      <c r="G407" s="81"/>
    </row>
    <row r="408" ht="15.75" spans="1:7">
      <c r="A408" s="533" t="s">
        <v>175</v>
      </c>
      <c r="B408" s="257"/>
      <c r="C408" s="79">
        <f t="shared" si="8"/>
        <v>0</v>
      </c>
      <c r="D408" s="116"/>
      <c r="E408" s="80"/>
      <c r="F408" s="81"/>
      <c r="G408" s="81"/>
    </row>
    <row r="409" ht="15.75" spans="1:7">
      <c r="A409" s="533" t="s">
        <v>176</v>
      </c>
      <c r="B409" s="257"/>
      <c r="C409" s="79">
        <f t="shared" si="8"/>
        <v>0</v>
      </c>
      <c r="D409" s="116"/>
      <c r="E409" s="80"/>
      <c r="F409" s="81"/>
      <c r="G409" s="81"/>
    </row>
    <row r="410" ht="15.75" spans="1:7">
      <c r="A410" s="533" t="s">
        <v>177</v>
      </c>
      <c r="B410" s="257"/>
      <c r="C410" s="79">
        <f t="shared" si="8"/>
        <v>0</v>
      </c>
      <c r="D410" s="116"/>
      <c r="E410" s="80"/>
      <c r="F410" s="81"/>
      <c r="G410" s="81"/>
    </row>
    <row r="411" ht="15.75" spans="1:7">
      <c r="A411" s="533" t="s">
        <v>178</v>
      </c>
      <c r="B411" s="257"/>
      <c r="C411" s="79">
        <f t="shared" si="8"/>
        <v>0</v>
      </c>
      <c r="D411" s="116"/>
      <c r="E411" s="80"/>
      <c r="F411" s="81"/>
      <c r="G411" s="81"/>
    </row>
    <row r="412" ht="15.75" spans="1:7">
      <c r="A412" s="257" t="s">
        <v>179</v>
      </c>
      <c r="B412" s="257"/>
      <c r="C412" s="79">
        <f t="shared" si="8"/>
        <v>0</v>
      </c>
      <c r="D412" s="116"/>
      <c r="E412" s="80"/>
      <c r="F412" s="81"/>
      <c r="G412" s="81"/>
    </row>
    <row r="413" ht="15.75" spans="1:7">
      <c r="A413" s="257" t="s">
        <v>180</v>
      </c>
      <c r="B413" s="257"/>
      <c r="C413" s="79">
        <f t="shared" si="8"/>
        <v>0</v>
      </c>
      <c r="D413" s="116"/>
      <c r="E413" s="80"/>
      <c r="F413" s="81"/>
      <c r="G413" s="81"/>
    </row>
    <row r="414" ht="15.75" spans="1:7">
      <c r="A414" s="257" t="s">
        <v>181</v>
      </c>
      <c r="B414" s="257"/>
      <c r="C414" s="79">
        <f t="shared" si="8"/>
        <v>0</v>
      </c>
      <c r="D414" s="116"/>
      <c r="E414" s="80"/>
      <c r="F414" s="81"/>
      <c r="G414" s="81"/>
    </row>
    <row r="415" ht="15.75" spans="1:7">
      <c r="A415" s="257" t="s">
        <v>182</v>
      </c>
      <c r="B415" s="257"/>
      <c r="C415" s="79">
        <f t="shared" si="8"/>
        <v>0</v>
      </c>
      <c r="D415" s="116"/>
      <c r="E415" s="80"/>
      <c r="F415" s="81"/>
      <c r="G415" s="81"/>
    </row>
    <row r="416" ht="15.75" spans="1:7">
      <c r="A416" s="257" t="s">
        <v>183</v>
      </c>
      <c r="B416" s="257"/>
      <c r="C416" s="79">
        <f t="shared" si="8"/>
        <v>0</v>
      </c>
      <c r="D416" s="116"/>
      <c r="E416" s="80"/>
      <c r="F416" s="81"/>
      <c r="G416" s="81"/>
    </row>
    <row r="417" ht="15.75" spans="1:7">
      <c r="A417" s="257" t="s">
        <v>184</v>
      </c>
      <c r="B417" s="257"/>
      <c r="C417" s="79">
        <f t="shared" si="8"/>
        <v>0</v>
      </c>
      <c r="D417" s="116"/>
      <c r="E417" s="80"/>
      <c r="F417" s="81"/>
      <c r="G417" s="81"/>
    </row>
    <row r="418" ht="15.75" spans="1:7">
      <c r="A418" s="257" t="s">
        <v>185</v>
      </c>
      <c r="B418" s="257"/>
      <c r="C418" s="79">
        <f t="shared" si="8"/>
        <v>0</v>
      </c>
      <c r="D418" s="116"/>
      <c r="E418" s="80"/>
      <c r="F418" s="81"/>
      <c r="G418" s="81"/>
    </row>
    <row r="419" ht="15.75" spans="1:7">
      <c r="A419" s="257" t="s">
        <v>186</v>
      </c>
      <c r="B419" s="257"/>
      <c r="C419" s="79">
        <f t="shared" si="8"/>
        <v>0</v>
      </c>
      <c r="D419" s="116"/>
      <c r="E419" s="80"/>
      <c r="F419" s="81"/>
      <c r="G419" s="81"/>
    </row>
    <row r="420" ht="15.75" spans="1:7">
      <c r="A420" s="257" t="s">
        <v>187</v>
      </c>
      <c r="B420" s="257"/>
      <c r="C420" s="79">
        <f t="shared" si="8"/>
        <v>0</v>
      </c>
      <c r="D420" s="116"/>
      <c r="E420" s="80"/>
      <c r="F420" s="81"/>
      <c r="G420" s="81"/>
    </row>
    <row r="421" ht="15.75" spans="1:7">
      <c r="A421" s="257" t="s">
        <v>188</v>
      </c>
      <c r="B421" s="257"/>
      <c r="C421" s="79">
        <f t="shared" si="8"/>
        <v>0</v>
      </c>
      <c r="D421" s="116"/>
      <c r="E421" s="80"/>
      <c r="F421" s="81"/>
      <c r="G421" s="81"/>
    </row>
    <row r="422" ht="15.75" spans="1:7">
      <c r="A422" s="257" t="s">
        <v>189</v>
      </c>
      <c r="B422" s="257"/>
      <c r="C422" s="79">
        <f t="shared" si="8"/>
        <v>0</v>
      </c>
      <c r="D422" s="116"/>
      <c r="E422" s="80"/>
      <c r="F422" s="81"/>
      <c r="G422" s="81"/>
    </row>
    <row r="423" ht="15.75" spans="1:7">
      <c r="A423" s="257" t="s">
        <v>190</v>
      </c>
      <c r="B423" s="257"/>
      <c r="C423" s="79">
        <f t="shared" si="8"/>
        <v>0</v>
      </c>
      <c r="D423" s="116"/>
      <c r="E423" s="80"/>
      <c r="F423" s="81"/>
      <c r="G423" s="81"/>
    </row>
    <row r="424" ht="15.75" spans="1:7">
      <c r="A424" s="257" t="s">
        <v>191</v>
      </c>
      <c r="B424" s="257"/>
      <c r="C424" s="79">
        <f t="shared" si="8"/>
        <v>0</v>
      </c>
      <c r="D424" s="116"/>
      <c r="E424" s="80"/>
      <c r="F424" s="81"/>
      <c r="G424" s="81"/>
    </row>
    <row r="425" ht="15.75" spans="1:7">
      <c r="A425" s="257" t="s">
        <v>192</v>
      </c>
      <c r="B425" s="257"/>
      <c r="C425" s="79">
        <f t="shared" si="8"/>
        <v>0</v>
      </c>
      <c r="D425" s="116"/>
      <c r="E425" s="80"/>
      <c r="F425" s="81"/>
      <c r="G425" s="81"/>
    </row>
    <row r="426" ht="15.75" spans="1:7">
      <c r="A426" s="257" t="s">
        <v>193</v>
      </c>
      <c r="B426" s="257"/>
      <c r="C426" s="79">
        <f t="shared" si="8"/>
        <v>0</v>
      </c>
      <c r="D426" s="116"/>
      <c r="E426" s="80"/>
      <c r="F426" s="81"/>
      <c r="G426" s="81"/>
    </row>
    <row r="427" ht="15.75" spans="1:7">
      <c r="A427" s="257" t="s">
        <v>194</v>
      </c>
      <c r="B427" s="257"/>
      <c r="C427" s="79">
        <f t="shared" si="8"/>
        <v>0</v>
      </c>
      <c r="D427" s="116"/>
      <c r="E427" s="80"/>
      <c r="F427" s="81"/>
      <c r="G427" s="81"/>
    </row>
    <row r="428" ht="15.75" spans="1:7">
      <c r="A428" s="257" t="s">
        <v>195</v>
      </c>
      <c r="B428" s="257"/>
      <c r="C428" s="79">
        <f t="shared" si="8"/>
        <v>0</v>
      </c>
      <c r="D428" s="116"/>
      <c r="E428" s="80"/>
      <c r="F428" s="81"/>
      <c r="G428" s="81"/>
    </row>
    <row r="429" ht="15.75" spans="1:7">
      <c r="A429" s="257" t="s">
        <v>196</v>
      </c>
      <c r="B429" s="257"/>
      <c r="C429" s="79">
        <f t="shared" si="8"/>
        <v>0</v>
      </c>
      <c r="D429" s="116"/>
      <c r="E429" s="80"/>
      <c r="F429" s="81"/>
      <c r="G429" s="81"/>
    </row>
    <row r="430" ht="15.75" spans="1:7">
      <c r="A430" s="257" t="s">
        <v>197</v>
      </c>
      <c r="B430" s="257"/>
      <c r="C430" s="79">
        <f t="shared" si="8"/>
        <v>0</v>
      </c>
      <c r="D430" s="116"/>
      <c r="E430" s="80"/>
      <c r="F430" s="81"/>
      <c r="G430" s="81"/>
    </row>
    <row r="431" ht="15.75" spans="1:7">
      <c r="A431" s="257" t="s">
        <v>198</v>
      </c>
      <c r="B431" s="257"/>
      <c r="C431" s="79">
        <f t="shared" si="8"/>
        <v>0</v>
      </c>
      <c r="D431" s="116"/>
      <c r="E431" s="80"/>
      <c r="F431" s="81"/>
      <c r="G431" s="81"/>
    </row>
    <row r="432" ht="15.75" spans="1:7">
      <c r="A432" s="257" t="s">
        <v>199</v>
      </c>
      <c r="B432" s="257"/>
      <c r="C432" s="79">
        <f t="shared" si="8"/>
        <v>0</v>
      </c>
      <c r="D432" s="116"/>
      <c r="E432" s="80"/>
      <c r="F432" s="81"/>
      <c r="G432" s="81"/>
    </row>
    <row r="433" ht="15.75" spans="1:7">
      <c r="A433" s="257" t="s">
        <v>200</v>
      </c>
      <c r="B433" s="257"/>
      <c r="C433" s="79">
        <f t="shared" si="8"/>
        <v>0</v>
      </c>
      <c r="D433" s="116"/>
      <c r="E433" s="80"/>
      <c r="F433" s="81"/>
      <c r="G433" s="81"/>
    </row>
    <row r="434" ht="15.75" spans="1:7">
      <c r="A434" s="257" t="s">
        <v>201</v>
      </c>
      <c r="B434" s="257"/>
      <c r="C434" s="79">
        <f t="shared" si="8"/>
        <v>0</v>
      </c>
      <c r="D434" s="116"/>
      <c r="E434" s="80"/>
      <c r="F434" s="81"/>
      <c r="G434" s="81"/>
    </row>
    <row r="435" ht="15.75" spans="1:7">
      <c r="A435" s="257" t="s">
        <v>202</v>
      </c>
      <c r="B435" s="257"/>
      <c r="C435" s="79">
        <f t="shared" si="8"/>
        <v>0</v>
      </c>
      <c r="D435" s="116"/>
      <c r="E435" s="80"/>
      <c r="F435" s="81"/>
      <c r="G435" s="81"/>
    </row>
    <row r="436" ht="15.75" spans="1:7">
      <c r="A436" s="257" t="s">
        <v>203</v>
      </c>
      <c r="B436" s="257"/>
      <c r="C436" s="79">
        <f t="shared" si="8"/>
        <v>0</v>
      </c>
      <c r="D436" s="116"/>
      <c r="E436" s="80"/>
      <c r="F436" s="81"/>
      <c r="G436" s="81"/>
    </row>
    <row r="437" ht="15.75" spans="1:7">
      <c r="A437" s="257" t="s">
        <v>204</v>
      </c>
      <c r="B437" s="257"/>
      <c r="C437" s="79">
        <f t="shared" si="8"/>
        <v>0</v>
      </c>
      <c r="D437" s="116"/>
      <c r="E437" s="80"/>
      <c r="F437" s="81"/>
      <c r="G437" s="81"/>
    </row>
    <row r="438" ht="15.75" spans="1:7">
      <c r="A438" s="257" t="s">
        <v>205</v>
      </c>
      <c r="B438" s="257"/>
      <c r="C438" s="79">
        <f t="shared" si="8"/>
        <v>0</v>
      </c>
      <c r="D438" s="116"/>
      <c r="E438" s="80"/>
      <c r="F438" s="81"/>
      <c r="G438" s="81"/>
    </row>
    <row r="439" ht="15.75" spans="1:7">
      <c r="A439" s="257" t="s">
        <v>206</v>
      </c>
      <c r="B439" s="257"/>
      <c r="C439" s="79">
        <f t="shared" si="8"/>
        <v>0</v>
      </c>
      <c r="D439" s="116"/>
      <c r="E439" s="80"/>
      <c r="F439" s="81"/>
      <c r="G439" s="81"/>
    </row>
    <row r="440" ht="15.75" spans="1:7">
      <c r="A440" s="257" t="s">
        <v>207</v>
      </c>
      <c r="B440" s="257"/>
      <c r="C440" s="79">
        <f t="shared" si="8"/>
        <v>0</v>
      </c>
      <c r="D440" s="116"/>
      <c r="E440" s="80"/>
      <c r="F440" s="81"/>
      <c r="G440" s="81"/>
    </row>
    <row r="441" ht="15.75" spans="1:7">
      <c r="A441" s="257" t="s">
        <v>208</v>
      </c>
      <c r="B441" s="257"/>
      <c r="C441" s="79">
        <f t="shared" si="8"/>
        <v>0</v>
      </c>
      <c r="D441" s="116"/>
      <c r="E441" s="80"/>
      <c r="F441" s="81"/>
      <c r="G441" s="81"/>
    </row>
    <row r="442" ht="15.75" spans="1:7">
      <c r="A442" s="257" t="s">
        <v>209</v>
      </c>
      <c r="B442" s="257"/>
      <c r="C442" s="79">
        <f t="shared" si="8"/>
        <v>0</v>
      </c>
      <c r="D442" s="116"/>
      <c r="E442" s="80"/>
      <c r="F442" s="81"/>
      <c r="G442" s="81"/>
    </row>
    <row r="443" ht="15.75" spans="1:7">
      <c r="A443" s="257" t="s">
        <v>210</v>
      </c>
      <c r="B443" s="257"/>
      <c r="C443" s="79">
        <f t="shared" si="8"/>
        <v>0</v>
      </c>
      <c r="D443" s="116"/>
      <c r="E443" s="80"/>
      <c r="F443" s="81"/>
      <c r="G443" s="81"/>
    </row>
    <row r="444" ht="15.75" spans="1:7">
      <c r="A444" s="257" t="s">
        <v>211</v>
      </c>
      <c r="B444" s="257"/>
      <c r="C444" s="79">
        <f t="shared" si="8"/>
        <v>0</v>
      </c>
      <c r="D444" s="116"/>
      <c r="E444" s="80"/>
      <c r="F444" s="81"/>
      <c r="G444" s="81"/>
    </row>
    <row r="445" ht="15.75" spans="1:7">
      <c r="A445" s="257" t="s">
        <v>212</v>
      </c>
      <c r="B445" s="257"/>
      <c r="C445" s="79">
        <f t="shared" si="8"/>
        <v>0</v>
      </c>
      <c r="D445" s="116"/>
      <c r="E445" s="80"/>
      <c r="F445" s="81"/>
      <c r="G445" s="81"/>
    </row>
    <row r="446" ht="15.75" spans="1:7">
      <c r="A446" s="257" t="s">
        <v>213</v>
      </c>
      <c r="B446" s="257"/>
      <c r="C446" s="79">
        <f t="shared" si="8"/>
        <v>0</v>
      </c>
      <c r="D446" s="116"/>
      <c r="E446" s="80"/>
      <c r="F446" s="81"/>
      <c r="G446" s="81"/>
    </row>
    <row r="447" ht="15.75" spans="1:7">
      <c r="A447" s="257" t="s">
        <v>214</v>
      </c>
      <c r="B447" s="257"/>
      <c r="C447" s="79">
        <f t="shared" si="8"/>
        <v>0</v>
      </c>
      <c r="D447" s="116"/>
      <c r="E447" s="80"/>
      <c r="F447" s="81"/>
      <c r="G447" s="81"/>
    </row>
    <row r="448" ht="15.75" spans="1:7">
      <c r="A448" s="257" t="s">
        <v>215</v>
      </c>
      <c r="B448" s="257"/>
      <c r="C448" s="79">
        <f t="shared" si="8"/>
        <v>0</v>
      </c>
      <c r="D448" s="116"/>
      <c r="E448" s="80"/>
      <c r="F448" s="81"/>
      <c r="G448" s="81"/>
    </row>
    <row r="449" ht="15.75" spans="1:7">
      <c r="A449" s="257" t="s">
        <v>216</v>
      </c>
      <c r="B449" s="257"/>
      <c r="C449" s="79">
        <f t="shared" si="8"/>
        <v>0</v>
      </c>
      <c r="D449" s="116"/>
      <c r="E449" s="80"/>
      <c r="F449" s="81"/>
      <c r="G449" s="81"/>
    </row>
    <row r="450" ht="15.75" spans="1:7">
      <c r="A450" s="257" t="s">
        <v>217</v>
      </c>
      <c r="B450" s="257"/>
      <c r="C450" s="79">
        <f t="shared" si="8"/>
        <v>0</v>
      </c>
      <c r="D450" s="116"/>
      <c r="E450" s="80"/>
      <c r="F450" s="81"/>
      <c r="G450" s="81"/>
    </row>
    <row r="451" ht="15.75" spans="1:7">
      <c r="A451" s="257" t="s">
        <v>218</v>
      </c>
      <c r="B451" s="257"/>
      <c r="C451" s="79">
        <f t="shared" si="8"/>
        <v>0</v>
      </c>
      <c r="D451" s="116"/>
      <c r="E451" s="80"/>
      <c r="F451" s="81"/>
      <c r="G451" s="81"/>
    </row>
    <row r="452" ht="15.75" spans="1:7">
      <c r="A452" s="257" t="s">
        <v>219</v>
      </c>
      <c r="B452" s="257"/>
      <c r="C452" s="79">
        <f t="shared" si="8"/>
        <v>0</v>
      </c>
      <c r="D452" s="116"/>
      <c r="E452" s="80"/>
      <c r="F452" s="81"/>
      <c r="G452" s="81"/>
    </row>
    <row r="453" ht="15.75" spans="1:7">
      <c r="A453" s="257" t="s">
        <v>220</v>
      </c>
      <c r="B453" s="257"/>
      <c r="D453" s="116"/>
      <c r="E453" s="80"/>
      <c r="F453" s="81"/>
      <c r="G453" s="81"/>
    </row>
    <row r="454" ht="15.75" spans="1:7">
      <c r="A454" s="257" t="s">
        <v>221</v>
      </c>
      <c r="B454" s="257"/>
      <c r="D454" s="116"/>
      <c r="E454" s="80"/>
      <c r="F454" s="81"/>
      <c r="G454" s="81"/>
    </row>
    <row r="455" ht="15.75" spans="1:7">
      <c r="A455" s="257" t="s">
        <v>221</v>
      </c>
      <c r="B455" s="257"/>
      <c r="D455" s="260"/>
      <c r="E455" s="72"/>
      <c r="F455" s="73"/>
      <c r="G455" s="84"/>
    </row>
    <row r="456" ht="15.75" spans="1:7">
      <c r="A456" s="257"/>
      <c r="B456" s="257"/>
      <c r="D456" s="116"/>
      <c r="E456" s="261"/>
      <c r="F456" s="262"/>
      <c r="G456" s="262"/>
    </row>
    <row r="457" ht="48.75" spans="1:7">
      <c r="A457" s="256" t="s">
        <v>233</v>
      </c>
      <c r="B457" s="257"/>
      <c r="D457" s="116"/>
      <c r="E457" s="263" t="e">
        <f>B462</f>
        <v>#DIV/0!</v>
      </c>
      <c r="F457" s="264" t="e">
        <f>B463</f>
        <v>#DIV/0!</v>
      </c>
      <c r="G457" s="265"/>
    </row>
    <row r="458" ht="48.75" spans="1:7">
      <c r="A458" s="256" t="s">
        <v>224</v>
      </c>
      <c r="B458" s="116"/>
      <c r="D458" s="72"/>
      <c r="E458" s="72"/>
      <c r="F458" s="73"/>
      <c r="G458" s="73"/>
    </row>
    <row r="459" ht="84.75" spans="1:7">
      <c r="A459" s="266" t="s">
        <v>225</v>
      </c>
      <c r="B459" s="116"/>
      <c r="D459" s="72"/>
      <c r="E459" s="72" t="e">
        <f>0.6*E457</f>
        <v>#DIV/0!</v>
      </c>
      <c r="F459" s="73" t="e">
        <f>0.6*F457</f>
        <v>#DIV/0!</v>
      </c>
      <c r="G459" s="73"/>
    </row>
    <row r="462" spans="1:2">
      <c r="A462" s="531" t="s">
        <v>226</v>
      </c>
      <c r="B462" s="95" t="e">
        <f>AVERAGE(B410:B449)</f>
        <v>#DIV/0!</v>
      </c>
    </row>
    <row r="463" spans="1:2">
      <c r="A463" s="531" t="s">
        <v>227</v>
      </c>
      <c r="B463" s="96" t="e">
        <f>AVERAGE(B415:B444)</f>
        <v>#DIV/0!</v>
      </c>
    </row>
    <row r="464" spans="1:2">
      <c r="A464" s="531" t="s">
        <v>228</v>
      </c>
      <c r="B464" s="96" t="e">
        <f>AVERAGE(B421:B439)</f>
        <v>#DIV/0!</v>
      </c>
    </row>
  </sheetData>
  <mergeCells count="14">
    <mergeCell ref="B2:D2"/>
    <mergeCell ref="B69:D69"/>
    <mergeCell ref="B134:D134"/>
    <mergeCell ref="B200:D200"/>
    <mergeCell ref="B266:D266"/>
    <mergeCell ref="B333:D333"/>
    <mergeCell ref="B401:D401"/>
    <mergeCell ref="A2:A4"/>
    <mergeCell ref="A69:A71"/>
    <mergeCell ref="A134:A136"/>
    <mergeCell ref="A200:A202"/>
    <mergeCell ref="A266:A268"/>
    <mergeCell ref="A333:A335"/>
    <mergeCell ref="A401:A403"/>
  </mergeCells>
  <pageMargins left="0.7" right="0.7" top="0.75" bottom="0.75" header="0.3" footer="0.3"/>
  <pageSetup paperSize="9" orientation="portrait"/>
  <headerFooter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Лист13">
    <tabColor rgb="FF92D050"/>
  </sheetPr>
  <dimension ref="A1:G464"/>
  <sheetViews>
    <sheetView topLeftCell="A457" workbookViewId="0">
      <selection activeCell="E81" sqref="E81:E83"/>
    </sheetView>
  </sheetViews>
  <sheetFormatPr defaultColWidth="8.72380952380952" defaultRowHeight="15" outlineLevelCol="6"/>
  <cols>
    <col min="3" max="3" width="9.18095238095238"/>
    <col min="5" max="5" width="9.45714285714286" customWidth="1"/>
    <col min="6" max="6" width="8.72380952380952" style="64"/>
    <col min="7" max="7" width="9.45714285714286" style="64" customWidth="1"/>
  </cols>
  <sheetData>
    <row r="1" ht="15.75" spans="4:5">
      <c r="D1" s="65">
        <v>0.1</v>
      </c>
      <c r="E1" s="65">
        <v>0.4</v>
      </c>
    </row>
    <row r="2" ht="23.25" customHeight="1" spans="1:7">
      <c r="A2" s="252" t="s">
        <v>165</v>
      </c>
      <c r="B2" s="67" t="s">
        <v>166</v>
      </c>
      <c r="C2" s="68"/>
      <c r="D2" s="69"/>
      <c r="E2" s="70">
        <f>(1-E57)^(1/3)-1</f>
        <v>-0.0274511955838863</v>
      </c>
      <c r="F2" s="70">
        <f>(1-F57)^(1/3)-1</f>
        <v>-0.0303651856112162</v>
      </c>
      <c r="G2" s="70"/>
    </row>
    <row r="3" ht="72.75" spans="1:7">
      <c r="A3" s="253"/>
      <c r="B3" s="72" t="s">
        <v>167</v>
      </c>
      <c r="C3" s="72"/>
      <c r="D3" s="72" t="s">
        <v>168</v>
      </c>
      <c r="E3" s="72" t="s">
        <v>169</v>
      </c>
      <c r="F3" s="73" t="s">
        <v>169</v>
      </c>
      <c r="G3" s="73"/>
    </row>
    <row r="4" ht="16.5" customHeight="1" spans="1:7">
      <c r="A4" s="254"/>
      <c r="B4" s="72" t="s">
        <v>170</v>
      </c>
      <c r="C4" s="72"/>
      <c r="D4" s="72" t="s">
        <v>171</v>
      </c>
      <c r="E4" s="72" t="s">
        <v>171</v>
      </c>
      <c r="F4" s="73" t="s">
        <v>171</v>
      </c>
      <c r="G4" s="73"/>
    </row>
    <row r="5" ht="15.75" spans="1:7">
      <c r="A5" s="75">
        <v>1</v>
      </c>
      <c r="B5" s="76">
        <v>2</v>
      </c>
      <c r="C5" s="76"/>
      <c r="D5" s="76">
        <v>3</v>
      </c>
      <c r="E5" s="76">
        <v>4</v>
      </c>
      <c r="F5" s="77">
        <v>5</v>
      </c>
      <c r="G5" s="77"/>
    </row>
    <row r="6" ht="15.75" spans="1:7">
      <c r="A6" s="530" t="s">
        <v>172</v>
      </c>
      <c r="B6" s="272">
        <v>13.6</v>
      </c>
      <c r="C6" s="79">
        <v>0</v>
      </c>
      <c r="D6" s="80">
        <v>0</v>
      </c>
      <c r="E6" s="80">
        <v>0</v>
      </c>
      <c r="F6" s="81">
        <v>0</v>
      </c>
      <c r="G6" s="81">
        <v>0</v>
      </c>
    </row>
    <row r="7" ht="15.75" spans="1:7">
      <c r="A7" s="530" t="s">
        <v>173</v>
      </c>
      <c r="B7" s="74">
        <v>15.88</v>
      </c>
      <c r="C7" s="79">
        <f>B6</f>
        <v>13.6</v>
      </c>
      <c r="D7" s="80">
        <v>0</v>
      </c>
      <c r="E7" s="80">
        <v>0</v>
      </c>
      <c r="F7" s="81">
        <v>0</v>
      </c>
      <c r="G7" s="81">
        <v>0</v>
      </c>
    </row>
    <row r="8" ht="15.75" spans="1:7">
      <c r="A8" s="530" t="s">
        <v>174</v>
      </c>
      <c r="B8" s="74">
        <v>17.49</v>
      </c>
      <c r="C8" s="79">
        <f t="shared" ref="C8:C56" si="0">B7</f>
        <v>15.88</v>
      </c>
      <c r="D8" s="80">
        <v>0</v>
      </c>
      <c r="E8" s="80">
        <v>0</v>
      </c>
      <c r="F8" s="81">
        <v>0</v>
      </c>
      <c r="G8" s="81">
        <v>0</v>
      </c>
    </row>
    <row r="9" ht="15.75" spans="1:7">
      <c r="A9" s="530" t="s">
        <v>175</v>
      </c>
      <c r="B9" s="74">
        <v>20.09</v>
      </c>
      <c r="C9" s="79">
        <f t="shared" si="0"/>
        <v>17.49</v>
      </c>
      <c r="D9" s="80">
        <v>0</v>
      </c>
      <c r="E9" s="80">
        <v>0</v>
      </c>
      <c r="F9" s="81">
        <v>0</v>
      </c>
      <c r="G9" s="81">
        <v>0.0104031856645097</v>
      </c>
    </row>
    <row r="10" ht="15.75" spans="1:7">
      <c r="A10" s="530" t="s">
        <v>176</v>
      </c>
      <c r="B10" s="74">
        <v>21.49</v>
      </c>
      <c r="C10" s="79">
        <f t="shared" si="0"/>
        <v>20.09</v>
      </c>
      <c r="D10" s="80">
        <v>0</v>
      </c>
      <c r="E10" s="80">
        <v>0</v>
      </c>
      <c r="F10" s="81">
        <v>0</v>
      </c>
      <c r="G10" s="81">
        <v>0.0162401116798511</v>
      </c>
    </row>
    <row r="11" ht="15.75" spans="1:7">
      <c r="A11" s="530" t="s">
        <v>177</v>
      </c>
      <c r="B11" s="74">
        <v>23.43</v>
      </c>
      <c r="C11" s="79">
        <f t="shared" si="0"/>
        <v>21.49</v>
      </c>
      <c r="D11" s="80">
        <v>0</v>
      </c>
      <c r="E11" s="80">
        <v>0</v>
      </c>
      <c r="F11" s="81">
        <v>0</v>
      </c>
      <c r="G11" s="81">
        <v>0.0231754161331626</v>
      </c>
    </row>
    <row r="12" ht="15.75" spans="1:7">
      <c r="A12" s="530" t="s">
        <v>178</v>
      </c>
      <c r="B12" s="74">
        <v>25.98</v>
      </c>
      <c r="C12" s="79">
        <f t="shared" si="0"/>
        <v>23.43</v>
      </c>
      <c r="D12" s="80">
        <v>0</v>
      </c>
      <c r="E12" s="80">
        <v>0</v>
      </c>
      <c r="F12" s="81">
        <v>0</v>
      </c>
      <c r="G12" s="81">
        <v>0.030715935334873</v>
      </c>
    </row>
    <row r="13" ht="15.75" spans="1:7">
      <c r="A13" s="78" t="s">
        <v>179</v>
      </c>
      <c r="B13" s="74">
        <v>28.46</v>
      </c>
      <c r="C13" s="79">
        <f t="shared" si="0"/>
        <v>25.98</v>
      </c>
      <c r="D13" s="80">
        <v>0</v>
      </c>
      <c r="E13" s="80">
        <v>0</v>
      </c>
      <c r="F13" s="81">
        <v>0</v>
      </c>
      <c r="G13" s="81">
        <v>0.0367533380182713</v>
      </c>
    </row>
    <row r="14" ht="15.75" spans="1:7">
      <c r="A14" s="78" t="s">
        <v>180</v>
      </c>
      <c r="B14" s="74">
        <v>31.98</v>
      </c>
      <c r="C14" s="79">
        <f t="shared" si="0"/>
        <v>28.46</v>
      </c>
      <c r="D14" s="80">
        <v>0</v>
      </c>
      <c r="E14" s="80">
        <v>0</v>
      </c>
      <c r="F14" s="81">
        <v>0</v>
      </c>
      <c r="G14" s="81">
        <v>0.0622889305816135</v>
      </c>
    </row>
    <row r="15" ht="15.75" spans="1:7">
      <c r="A15" s="78" t="s">
        <v>181</v>
      </c>
      <c r="B15" s="74">
        <v>32.87</v>
      </c>
      <c r="C15" s="79">
        <f t="shared" si="0"/>
        <v>31.98</v>
      </c>
      <c r="D15" s="80">
        <v>0</v>
      </c>
      <c r="E15" s="80">
        <v>0</v>
      </c>
      <c r="F15" s="81">
        <v>0</v>
      </c>
      <c r="G15" s="81">
        <v>0.0714329175540006</v>
      </c>
    </row>
    <row r="16" ht="15.75" spans="1:7">
      <c r="A16" s="78" t="s">
        <v>182</v>
      </c>
      <c r="B16" s="74">
        <v>34.28</v>
      </c>
      <c r="C16" s="79">
        <f t="shared" si="0"/>
        <v>32.87</v>
      </c>
      <c r="D16" s="80">
        <v>0</v>
      </c>
      <c r="E16" s="80">
        <v>0</v>
      </c>
      <c r="F16" s="81">
        <v>0</v>
      </c>
      <c r="G16" s="81">
        <v>0.0849474912485415</v>
      </c>
    </row>
    <row r="17" ht="15.75" spans="1:7">
      <c r="A17" s="78" t="s">
        <v>183</v>
      </c>
      <c r="B17" s="74">
        <v>35.28</v>
      </c>
      <c r="C17" s="79">
        <f t="shared" si="0"/>
        <v>34.28</v>
      </c>
      <c r="D17" s="80">
        <v>0</v>
      </c>
      <c r="E17" s="80">
        <v>0</v>
      </c>
      <c r="F17" s="81">
        <v>0</v>
      </c>
      <c r="G17" s="81">
        <v>0.0938775510204082</v>
      </c>
    </row>
    <row r="18" ht="15.75" spans="1:7">
      <c r="A18" s="78" t="s">
        <v>184</v>
      </c>
      <c r="B18" s="74">
        <v>37.3</v>
      </c>
      <c r="C18" s="79">
        <f t="shared" si="0"/>
        <v>35.28</v>
      </c>
      <c r="D18" s="80">
        <v>0</v>
      </c>
      <c r="E18" s="80">
        <v>0</v>
      </c>
      <c r="F18" s="81">
        <v>0.00319839142091152</v>
      </c>
      <c r="G18" s="81">
        <v>0.110455764075067</v>
      </c>
    </row>
    <row r="19" ht="15.75" spans="1:7">
      <c r="A19" s="78" t="s">
        <v>185</v>
      </c>
      <c r="B19" s="74">
        <v>39.13</v>
      </c>
      <c r="C19" s="79">
        <f t="shared" si="0"/>
        <v>37.3</v>
      </c>
      <c r="D19" s="80">
        <v>0.012047022744697</v>
      </c>
      <c r="E19" s="80"/>
      <c r="F19" s="81">
        <v>0.00772553028366983</v>
      </c>
      <c r="G19" s="81">
        <v>0.123996933299259</v>
      </c>
    </row>
    <row r="20" ht="15.75" spans="1:7">
      <c r="A20" s="78" t="s">
        <v>186</v>
      </c>
      <c r="B20" s="74">
        <v>40.82</v>
      </c>
      <c r="C20" s="79">
        <f t="shared" si="0"/>
        <v>39.13</v>
      </c>
      <c r="D20" s="80">
        <v>0.0529495345418911</v>
      </c>
      <c r="E20" s="80"/>
      <c r="F20" s="81">
        <v>0.0115458108770211</v>
      </c>
      <c r="G20" s="81">
        <v>0.135423811856933</v>
      </c>
    </row>
    <row r="21" ht="15.75" spans="1:7">
      <c r="A21" s="78" t="s">
        <v>187</v>
      </c>
      <c r="B21" s="74">
        <v>41.87</v>
      </c>
      <c r="C21" s="79">
        <f t="shared" si="0"/>
        <v>40.82</v>
      </c>
      <c r="D21" s="80">
        <v>0.0766993073799855</v>
      </c>
      <c r="E21" s="80"/>
      <c r="F21" s="81">
        <v>0.0137640315261524</v>
      </c>
      <c r="G21" s="81">
        <v>0.142058753283974</v>
      </c>
    </row>
    <row r="22" ht="15.75" spans="1:7">
      <c r="A22" s="78" t="s">
        <v>188</v>
      </c>
      <c r="B22" s="74">
        <v>43.73</v>
      </c>
      <c r="C22" s="79">
        <f t="shared" si="0"/>
        <v>41.87</v>
      </c>
      <c r="D22" s="80">
        <v>0.115970729476332</v>
      </c>
      <c r="E22" s="80">
        <v>0.0115970729476332</v>
      </c>
      <c r="F22" s="81">
        <v>0.0174319689000686</v>
      </c>
      <c r="G22" s="81">
        <v>0.153029956551566</v>
      </c>
    </row>
    <row r="23" ht="15.75" spans="1:7">
      <c r="A23" s="78" t="s">
        <v>189</v>
      </c>
      <c r="B23" s="74">
        <v>46.36</v>
      </c>
      <c r="C23" s="79">
        <f t="shared" si="0"/>
        <v>43.73</v>
      </c>
      <c r="D23" s="80">
        <v>0.166121656600518</v>
      </c>
      <c r="E23" s="80">
        <v>0.0166121656600518</v>
      </c>
      <c r="F23" s="81">
        <v>0.0221160483175151</v>
      </c>
      <c r="G23" s="81">
        <v>0.167040552200173</v>
      </c>
    </row>
    <row r="24" ht="15.75" spans="1:7">
      <c r="A24" s="78" t="s">
        <v>190</v>
      </c>
      <c r="B24" s="74">
        <v>48.05</v>
      </c>
      <c r="C24" s="79">
        <f t="shared" si="0"/>
        <v>46.36</v>
      </c>
      <c r="D24" s="80">
        <v>0.195450572320499</v>
      </c>
      <c r="E24" s="80">
        <v>0.0195450572320499</v>
      </c>
      <c r="F24" s="81">
        <v>0.0248553590010406</v>
      </c>
      <c r="G24" s="81">
        <v>0.175234131113423</v>
      </c>
    </row>
    <row r="25" ht="15.75" spans="1:7">
      <c r="A25" s="78" t="s">
        <v>191</v>
      </c>
      <c r="B25" s="74">
        <v>49.71</v>
      </c>
      <c r="C25" s="79">
        <f t="shared" si="0"/>
        <v>48.05</v>
      </c>
      <c r="D25" s="80">
        <v>0.22231744115872</v>
      </c>
      <c r="E25" s="80">
        <v>0.022231744115872</v>
      </c>
      <c r="F25" s="81">
        <v>0.0273647153490243</v>
      </c>
      <c r="G25" s="81">
        <v>0.182739891369946</v>
      </c>
    </row>
    <row r="26" ht="15.75" spans="1:7">
      <c r="A26" s="78" t="s">
        <v>192</v>
      </c>
      <c r="B26" s="74">
        <v>50.68</v>
      </c>
      <c r="C26" s="79">
        <f t="shared" si="0"/>
        <v>49.71</v>
      </c>
      <c r="D26" s="80">
        <v>0.237202052091555</v>
      </c>
      <c r="E26" s="80">
        <v>0.0237202052091555</v>
      </c>
      <c r="F26" s="81">
        <v>0.0287549329123915</v>
      </c>
      <c r="G26" s="81">
        <v>0.18689818468824</v>
      </c>
    </row>
    <row r="27" ht="15.75" spans="1:7">
      <c r="A27" s="78" t="s">
        <v>193</v>
      </c>
      <c r="B27" s="74">
        <v>51.43</v>
      </c>
      <c r="C27" s="79">
        <f t="shared" si="0"/>
        <v>50.68</v>
      </c>
      <c r="D27" s="80">
        <v>0.248325879836671</v>
      </c>
      <c r="E27" s="80">
        <v>0.0248325879836671</v>
      </c>
      <c r="F27" s="81">
        <v>0.0297938946140385</v>
      </c>
      <c r="G27" s="81">
        <v>0.190005833171301</v>
      </c>
    </row>
    <row r="28" ht="15.75" spans="1:7">
      <c r="A28" s="78" t="s">
        <v>194</v>
      </c>
      <c r="B28" s="74">
        <v>52.18</v>
      </c>
      <c r="C28" s="79">
        <f t="shared" si="0"/>
        <v>51.43</v>
      </c>
      <c r="D28" s="80">
        <v>0.259129934840935</v>
      </c>
      <c r="E28" s="80">
        <v>0.0259129934840935</v>
      </c>
      <c r="F28" s="81">
        <v>0.0308029896512074</v>
      </c>
      <c r="G28" s="81">
        <v>0.193024147182829</v>
      </c>
    </row>
    <row r="29" ht="15.75" spans="1:7">
      <c r="A29" s="78" t="s">
        <v>195</v>
      </c>
      <c r="B29" s="74">
        <v>53.85</v>
      </c>
      <c r="C29" s="79">
        <f t="shared" si="0"/>
        <v>52.18</v>
      </c>
      <c r="D29" s="80">
        <v>0.282105849582173</v>
      </c>
      <c r="E29" s="80">
        <v>0.0282105849582173</v>
      </c>
      <c r="F29" s="81">
        <v>0.0329489322191272</v>
      </c>
      <c r="G29" s="81">
        <v>0.199442896935933</v>
      </c>
    </row>
    <row r="30" ht="15.75" spans="1:7">
      <c r="A30" s="78" t="s">
        <v>196</v>
      </c>
      <c r="B30" s="74">
        <v>55.34</v>
      </c>
      <c r="C30" s="79">
        <f t="shared" si="0"/>
        <v>53.85</v>
      </c>
      <c r="D30" s="80">
        <v>0.301434766895555</v>
      </c>
      <c r="E30" s="80">
        <v>0.0301434766895555</v>
      </c>
      <c r="F30" s="81">
        <v>0.0347542464763282</v>
      </c>
      <c r="G30" s="81">
        <v>0.204842790025298</v>
      </c>
    </row>
    <row r="31" ht="15.75" spans="1:7">
      <c r="A31" s="78" t="s">
        <v>197</v>
      </c>
      <c r="B31" s="74">
        <v>56.47</v>
      </c>
      <c r="C31" s="79">
        <f t="shared" si="0"/>
        <v>55.34</v>
      </c>
      <c r="D31" s="80">
        <v>0.315413493890561</v>
      </c>
      <c r="E31" s="80">
        <v>0.0315413493890561</v>
      </c>
      <c r="F31" s="81">
        <v>0.0360598547901541</v>
      </c>
      <c r="G31" s="81">
        <v>0.208748007791748</v>
      </c>
    </row>
    <row r="32" ht="15.75" spans="1:7">
      <c r="A32" s="78" t="s">
        <v>198</v>
      </c>
      <c r="B32" s="74">
        <v>57.95</v>
      </c>
      <c r="C32" s="79">
        <f t="shared" si="0"/>
        <v>56.47</v>
      </c>
      <c r="D32" s="80">
        <v>0.332897325280414</v>
      </c>
      <c r="E32" s="80">
        <v>0.0332897325280414</v>
      </c>
      <c r="F32" s="81">
        <v>0.0376928386540121</v>
      </c>
      <c r="G32" s="81">
        <v>0.213632441760138</v>
      </c>
    </row>
    <row r="33" ht="15.75" spans="1:7">
      <c r="A33" s="78" t="s">
        <v>199</v>
      </c>
      <c r="B33" s="74">
        <v>60.96</v>
      </c>
      <c r="C33" s="79">
        <f t="shared" si="0"/>
        <v>57.95</v>
      </c>
      <c r="D33" s="80">
        <v>0.365836614173228</v>
      </c>
      <c r="E33" s="80">
        <v>0.0365836614173228</v>
      </c>
      <c r="F33" s="81">
        <v>0.0446161417322835</v>
      </c>
      <c r="G33" s="81">
        <v>0.222834645669291</v>
      </c>
    </row>
    <row r="34" ht="15.75" spans="1:7">
      <c r="A34" s="78" t="s">
        <v>200</v>
      </c>
      <c r="B34" s="74">
        <v>62.62</v>
      </c>
      <c r="C34" s="79">
        <f t="shared" si="0"/>
        <v>60.96</v>
      </c>
      <c r="D34" s="80">
        <v>0.382647716384542</v>
      </c>
      <c r="E34" s="80">
        <v>0.0382647716384542</v>
      </c>
      <c r="F34" s="81">
        <v>0.0540370488661769</v>
      </c>
      <c r="G34" s="81">
        <v>0.227531140210795</v>
      </c>
    </row>
    <row r="35" ht="15.75" spans="1:7">
      <c r="A35" s="78" t="s">
        <v>201</v>
      </c>
      <c r="B35" s="74">
        <v>63.93</v>
      </c>
      <c r="C35" s="79">
        <f t="shared" si="0"/>
        <v>62.62</v>
      </c>
      <c r="D35" s="80">
        <v>0.395297982167996</v>
      </c>
      <c r="E35" s="80">
        <v>0.0395297982167996</v>
      </c>
      <c r="F35" s="81">
        <v>0.0611262318160488</v>
      </c>
      <c r="G35" s="81">
        <v>0.23106522759268</v>
      </c>
    </row>
    <row r="36" ht="15.75" spans="1:7">
      <c r="A36" s="78" t="s">
        <v>202</v>
      </c>
      <c r="B36" s="74">
        <v>64.82</v>
      </c>
      <c r="C36" s="79">
        <f t="shared" si="0"/>
        <v>63.93</v>
      </c>
      <c r="D36" s="80">
        <v>0.403600740512187</v>
      </c>
      <c r="E36" s="80">
        <v>0.0421604443073125</v>
      </c>
      <c r="F36" s="81">
        <v>0.0657790805307004</v>
      </c>
      <c r="G36" s="81">
        <v>0.233384757790805</v>
      </c>
    </row>
    <row r="37" ht="15.75" spans="1:7">
      <c r="A37" s="78" t="s">
        <v>203</v>
      </c>
      <c r="B37" s="74">
        <v>69.27</v>
      </c>
      <c r="C37" s="79">
        <f t="shared" si="0"/>
        <v>64.82</v>
      </c>
      <c r="D37" s="80">
        <v>0.441914248592464</v>
      </c>
      <c r="E37" s="80">
        <v>0.0651485491554785</v>
      </c>
      <c r="F37" s="81">
        <v>0.0872498917280208</v>
      </c>
      <c r="G37" s="81">
        <v>0.244088349935037</v>
      </c>
    </row>
    <row r="38" ht="15.75" spans="1:7">
      <c r="A38" s="78" t="s">
        <v>204</v>
      </c>
      <c r="B38" s="74">
        <v>74.63</v>
      </c>
      <c r="C38" s="79">
        <f t="shared" si="0"/>
        <v>69.27</v>
      </c>
      <c r="D38" s="80">
        <v>0.481996516146322</v>
      </c>
      <c r="E38" s="80">
        <v>0.0891979096877931</v>
      </c>
      <c r="F38" s="81">
        <v>0.109711912099692</v>
      </c>
      <c r="G38" s="81">
        <v>0.255286077984725</v>
      </c>
    </row>
    <row r="39" ht="15.75" spans="1:7">
      <c r="A39" s="78" t="s">
        <v>205</v>
      </c>
      <c r="B39" s="74">
        <v>78.06</v>
      </c>
      <c r="C39" s="79">
        <f t="shared" si="0"/>
        <v>74.63</v>
      </c>
      <c r="D39" s="80">
        <v>0.504757878554958</v>
      </c>
      <c r="E39" s="80">
        <v>0.102854727132975</v>
      </c>
      <c r="F39" s="81">
        <v>0.122467332820907</v>
      </c>
      <c r="G39" s="81">
        <v>0.261644888547271</v>
      </c>
    </row>
    <row r="40" ht="15.75" spans="1:7">
      <c r="A40" s="78" t="s">
        <v>206</v>
      </c>
      <c r="B40" s="74">
        <v>80.01</v>
      </c>
      <c r="C40" s="79">
        <f t="shared" si="0"/>
        <v>78.06</v>
      </c>
      <c r="D40" s="80">
        <v>0.516827896512936</v>
      </c>
      <c r="E40" s="80">
        <v>0.110096737907762</v>
      </c>
      <c r="F40" s="81">
        <v>0.12923134608174</v>
      </c>
      <c r="G40" s="81">
        <v>0.265016872890889</v>
      </c>
    </row>
    <row r="41" ht="15.75" spans="1:7">
      <c r="A41" s="78" t="s">
        <v>207</v>
      </c>
      <c r="B41" s="74">
        <v>81.95</v>
      </c>
      <c r="C41" s="79">
        <f t="shared" si="0"/>
        <v>80.01</v>
      </c>
      <c r="D41" s="80">
        <v>0.528266015863331</v>
      </c>
      <c r="E41" s="80">
        <v>0.116959609517999</v>
      </c>
      <c r="F41" s="81">
        <v>0.135641244661379</v>
      </c>
      <c r="G41" s="81">
        <v>0.268212324588164</v>
      </c>
    </row>
    <row r="42" ht="15.75" spans="1:7">
      <c r="A42" s="78" t="s">
        <v>208</v>
      </c>
      <c r="B42" s="74">
        <v>83.38</v>
      </c>
      <c r="C42" s="79">
        <f t="shared" si="0"/>
        <v>81.95</v>
      </c>
      <c r="D42" s="80">
        <v>0.53635644039338</v>
      </c>
      <c r="E42" s="80">
        <v>0.121813864236028</v>
      </c>
      <c r="F42" s="81">
        <v>0.140175101942912</v>
      </c>
      <c r="G42" s="81">
        <v>0.270472535380187</v>
      </c>
    </row>
    <row r="43" ht="15.75" spans="1:7">
      <c r="A43" s="78" t="s">
        <v>209</v>
      </c>
      <c r="B43" s="74">
        <v>89.72</v>
      </c>
      <c r="C43" s="79">
        <f t="shared" si="0"/>
        <v>83.38</v>
      </c>
      <c r="D43" s="80">
        <v>0.569119482835488</v>
      </c>
      <c r="E43" s="80">
        <v>0.141471689701293</v>
      </c>
      <c r="F43" s="81">
        <v>0.158535443602318</v>
      </c>
      <c r="G43" s="81">
        <v>0.27962550156041</v>
      </c>
    </row>
    <row r="44" ht="15.75" spans="1:7">
      <c r="A44" s="78" t="s">
        <v>210</v>
      </c>
      <c r="B44" s="74">
        <v>98.17</v>
      </c>
      <c r="C44" s="79">
        <f t="shared" si="0"/>
        <v>89.72</v>
      </c>
      <c r="D44" s="80">
        <v>0.60620759906285</v>
      </c>
      <c r="E44" s="80">
        <v>0.16372455943771</v>
      </c>
      <c r="F44" s="81">
        <v>0.179319547723337</v>
      </c>
      <c r="G44" s="81">
        <v>0.289986757665275</v>
      </c>
    </row>
    <row r="45" ht="15.75" spans="1:7">
      <c r="A45" s="78" t="s">
        <v>211</v>
      </c>
      <c r="B45" s="74">
        <v>103.4</v>
      </c>
      <c r="C45" s="79">
        <f t="shared" si="0"/>
        <v>98.17</v>
      </c>
      <c r="D45" s="80">
        <v>0.626125725338491</v>
      </c>
      <c r="E45" s="80">
        <v>0.175675435203095</v>
      </c>
      <c r="F45" s="81">
        <v>0.190481624758221</v>
      </c>
      <c r="G45" s="81">
        <v>0.295551257253385</v>
      </c>
    </row>
    <row r="46" ht="15.75" spans="1:7">
      <c r="A46" s="78" t="s">
        <v>212</v>
      </c>
      <c r="B46" s="74">
        <v>109.54</v>
      </c>
      <c r="C46" s="79">
        <f t="shared" si="0"/>
        <v>103.4</v>
      </c>
      <c r="D46" s="80">
        <v>0.647082344349096</v>
      </c>
      <c r="E46" s="80">
        <v>0.188249406609458</v>
      </c>
      <c r="F46" s="81">
        <v>0.202225670987767</v>
      </c>
      <c r="G46" s="81">
        <v>0.301405879130911</v>
      </c>
    </row>
    <row r="47" ht="15.75" spans="1:7">
      <c r="A47" s="78" t="s">
        <v>213</v>
      </c>
      <c r="B47" s="74">
        <v>121.55</v>
      </c>
      <c r="C47" s="79">
        <f t="shared" si="0"/>
        <v>109.54</v>
      </c>
      <c r="D47" s="80">
        <v>0.681953105717812</v>
      </c>
      <c r="E47" s="80">
        <v>0.209171863430687</v>
      </c>
      <c r="F47" s="81">
        <v>0.221767174002468</v>
      </c>
      <c r="G47" s="81">
        <v>0.311147675853558</v>
      </c>
    </row>
    <row r="48" ht="15.75" spans="1:7">
      <c r="A48" s="78" t="s">
        <v>214</v>
      </c>
      <c r="B48" s="74">
        <v>128.63</v>
      </c>
      <c r="C48" s="79">
        <f t="shared" si="0"/>
        <v>121.55</v>
      </c>
      <c r="D48" s="80">
        <v>0.699458913161782</v>
      </c>
      <c r="E48" s="80">
        <v>0.219675347897069</v>
      </c>
      <c r="F48" s="81">
        <v>0.231577392521185</v>
      </c>
      <c r="G48" s="81">
        <v>0.316038249242012</v>
      </c>
    </row>
    <row r="49" ht="15.75" spans="1:7">
      <c r="A49" s="78" t="s">
        <v>215</v>
      </c>
      <c r="B49" s="74">
        <v>132.16</v>
      </c>
      <c r="C49" s="79">
        <f t="shared" si="0"/>
        <v>128.63</v>
      </c>
      <c r="D49" s="80">
        <v>0.707486380145278</v>
      </c>
      <c r="E49" s="80">
        <v>0.224491828087167</v>
      </c>
      <c r="F49" s="81">
        <v>0.236075968523002</v>
      </c>
      <c r="G49" s="81">
        <v>0.318280871670702</v>
      </c>
    </row>
    <row r="50" ht="15.75" spans="1:7">
      <c r="A50" s="78" t="s">
        <v>216</v>
      </c>
      <c r="B50" s="74">
        <v>137.29</v>
      </c>
      <c r="C50" s="79">
        <f t="shared" si="0"/>
        <v>132.16</v>
      </c>
      <c r="D50" s="80">
        <v>0.71841649064025</v>
      </c>
      <c r="E50" s="80">
        <v>0.23104989438415</v>
      </c>
      <c r="F50" s="81">
        <v>0.242201179983976</v>
      </c>
      <c r="G50" s="81">
        <v>0.321334401631583</v>
      </c>
    </row>
    <row r="51" ht="15.75" spans="1:7">
      <c r="A51" s="78" t="s">
        <v>217</v>
      </c>
      <c r="B51" s="74">
        <v>160.66</v>
      </c>
      <c r="C51" s="79">
        <f t="shared" si="0"/>
        <v>137.29</v>
      </c>
      <c r="D51" s="80">
        <v>0.75937632266899</v>
      </c>
      <c r="E51" s="80">
        <v>0.255625793601394</v>
      </c>
      <c r="F51" s="81">
        <v>0.265154985684053</v>
      </c>
      <c r="G51" s="81">
        <v>0.332777293663638</v>
      </c>
    </row>
    <row r="52" ht="15.75" spans="1:7">
      <c r="A52" s="78" t="s">
        <v>218</v>
      </c>
      <c r="B52" s="74">
        <v>173.97</v>
      </c>
      <c r="C52" s="79">
        <f t="shared" si="0"/>
        <v>160.66</v>
      </c>
      <c r="D52" s="80">
        <v>0.777785825142266</v>
      </c>
      <c r="E52" s="80">
        <v>0.26667149508536</v>
      </c>
      <c r="F52" s="81">
        <v>0.275471633040179</v>
      </c>
      <c r="G52" s="81">
        <v>0.337920331091568</v>
      </c>
    </row>
    <row r="53" ht="15.75" spans="1:7">
      <c r="A53" s="78" t="s">
        <v>219</v>
      </c>
      <c r="B53" s="74">
        <v>188.04</v>
      </c>
      <c r="C53" s="79">
        <f t="shared" si="0"/>
        <v>173.97</v>
      </c>
      <c r="D53" s="80">
        <v>0.794412890874282</v>
      </c>
      <c r="E53" s="80">
        <v>0.276647734524569</v>
      </c>
      <c r="F53" s="81">
        <v>0.284789406509253</v>
      </c>
      <c r="G53" s="81">
        <v>0.34256541161455</v>
      </c>
    </row>
    <row r="54" ht="15.75" spans="1:7">
      <c r="A54" s="78" t="s">
        <v>220</v>
      </c>
      <c r="B54" s="74">
        <v>212.45</v>
      </c>
      <c r="C54" s="79">
        <f t="shared" si="0"/>
        <v>188.04</v>
      </c>
      <c r="D54" s="80">
        <v>0.818034361026124</v>
      </c>
      <c r="E54" s="80">
        <v>0.290820616615674</v>
      </c>
      <c r="F54" s="81">
        <v>0.298026829842316</v>
      </c>
      <c r="G54" s="81">
        <v>0.349164509296305</v>
      </c>
    </row>
    <row r="55" spans="1:7">
      <c r="A55" s="78" t="s">
        <v>221</v>
      </c>
      <c r="B55" s="137">
        <v>282.82</v>
      </c>
      <c r="C55" s="79">
        <f t="shared" si="0"/>
        <v>212.45</v>
      </c>
      <c r="D55" s="80">
        <v>0.863310232656814</v>
      </c>
      <c r="E55" s="80">
        <v>0.317986139594088</v>
      </c>
      <c r="F55" s="81">
        <v>0.323399335266247</v>
      </c>
      <c r="G55" s="81">
        <v>0.361813167385616</v>
      </c>
    </row>
    <row r="56" spans="1:7">
      <c r="A56" s="78" t="s">
        <v>221</v>
      </c>
      <c r="B56" s="82" t="s">
        <v>387</v>
      </c>
      <c r="C56" s="79">
        <f t="shared" si="0"/>
        <v>282.82</v>
      </c>
      <c r="D56" s="80" t="e">
        <v>#VALUE!</v>
      </c>
      <c r="E56" s="83"/>
      <c r="F56" s="84"/>
      <c r="G56" s="84"/>
    </row>
    <row r="57" spans="1:7">
      <c r="A57" s="78"/>
      <c r="B57" s="82"/>
      <c r="C57" s="82"/>
      <c r="D57" s="83"/>
      <c r="E57" s="85">
        <v>0.0801135686810737</v>
      </c>
      <c r="F57" s="86">
        <v>0.0883574213943369</v>
      </c>
      <c r="G57" s="86">
        <v>0.193071142003808</v>
      </c>
    </row>
    <row r="58" ht="48.75" spans="1:7">
      <c r="A58" s="87" t="s">
        <v>233</v>
      </c>
      <c r="B58" s="285">
        <v>30</v>
      </c>
      <c r="C58" s="82"/>
      <c r="D58" s="83"/>
      <c r="E58" s="127">
        <v>64.431</v>
      </c>
      <c r="F58" s="128">
        <v>60.1783333333333</v>
      </c>
      <c r="G58" s="129">
        <v>30</v>
      </c>
    </row>
    <row r="59" ht="48.75" spans="1:7">
      <c r="A59" s="87" t="s">
        <v>224</v>
      </c>
      <c r="B59" s="285">
        <v>81.05</v>
      </c>
      <c r="C59" s="82"/>
      <c r="D59" s="83"/>
      <c r="E59" s="83"/>
      <c r="F59" s="84"/>
      <c r="G59" s="84"/>
    </row>
    <row r="60" ht="84.75" spans="1:7">
      <c r="A60" s="106" t="s">
        <v>225</v>
      </c>
      <c r="B60" s="116">
        <v>18</v>
      </c>
      <c r="C60" s="78"/>
      <c r="D60" s="83"/>
      <c r="E60" s="83">
        <v>38.6586</v>
      </c>
      <c r="F60" s="84">
        <v>36.107</v>
      </c>
      <c r="G60" s="84">
        <v>18</v>
      </c>
    </row>
    <row r="62" ht="48.75" spans="1:2">
      <c r="A62" s="256" t="s">
        <v>224</v>
      </c>
      <c r="B62">
        <f>B59</f>
        <v>81.05</v>
      </c>
    </row>
    <row r="63" spans="1:3">
      <c r="A63" s="531" t="s">
        <v>226</v>
      </c>
      <c r="B63" s="95">
        <f>AVERAGE(B11:B50)</f>
        <v>64.431</v>
      </c>
      <c r="C63" s="95"/>
    </row>
    <row r="64" spans="1:3">
      <c r="A64" s="531" t="s">
        <v>227</v>
      </c>
      <c r="B64" s="96">
        <f>AVERAGE(B16:B45)</f>
        <v>60.1783333333333</v>
      </c>
      <c r="C64" s="96"/>
    </row>
    <row r="65" spans="1:3">
      <c r="A65" s="531" t="s">
        <v>228</v>
      </c>
      <c r="B65" s="96">
        <f>AVERAGE(B22:B40)</f>
        <v>58.95</v>
      </c>
      <c r="C65" s="96"/>
    </row>
    <row r="69" customHeight="1" spans="1:7">
      <c r="A69" s="83" t="s">
        <v>165</v>
      </c>
      <c r="B69" s="83" t="s">
        <v>229</v>
      </c>
      <c r="C69" s="83"/>
      <c r="D69" s="83"/>
      <c r="E69" s="98">
        <f>(1-E124)^(1/3)-1</f>
        <v>-0.0260903203297466</v>
      </c>
      <c r="F69" s="98">
        <f>(1-F124)^(1/3)-1</f>
        <v>-0.0276339770280775</v>
      </c>
      <c r="G69" s="98"/>
    </row>
    <row r="70" ht="72" spans="1:7">
      <c r="A70" s="83"/>
      <c r="B70" s="83" t="s">
        <v>167</v>
      </c>
      <c r="C70" s="83"/>
      <c r="D70" s="83" t="s">
        <v>168</v>
      </c>
      <c r="E70" s="83" t="s">
        <v>169</v>
      </c>
      <c r="F70" s="84" t="s">
        <v>169</v>
      </c>
      <c r="G70" s="84"/>
    </row>
    <row r="71" ht="24" spans="1:7">
      <c r="A71" s="83"/>
      <c r="B71" s="83" t="s">
        <v>230</v>
      </c>
      <c r="C71" s="83"/>
      <c r="D71" s="83" t="s">
        <v>171</v>
      </c>
      <c r="E71" s="83" t="s">
        <v>171</v>
      </c>
      <c r="F71" s="84" t="s">
        <v>171</v>
      </c>
      <c r="G71" s="84"/>
    </row>
    <row r="72" ht="15.75" spans="1:7">
      <c r="A72" s="75">
        <v>1</v>
      </c>
      <c r="B72" s="76">
        <v>2</v>
      </c>
      <c r="C72" s="76"/>
      <c r="D72" s="76">
        <v>3</v>
      </c>
      <c r="E72" s="76">
        <v>4</v>
      </c>
      <c r="F72" s="77">
        <v>5</v>
      </c>
      <c r="G72" s="77"/>
    </row>
    <row r="73" ht="15.75" spans="1:7">
      <c r="A73" s="530" t="s">
        <v>172</v>
      </c>
      <c r="B73" s="272">
        <v>21.47</v>
      </c>
      <c r="C73" s="102">
        <v>0</v>
      </c>
      <c r="D73" s="80">
        <v>0</v>
      </c>
      <c r="E73" s="80">
        <v>0</v>
      </c>
      <c r="F73" s="81">
        <v>0</v>
      </c>
      <c r="G73" s="81">
        <v>0.00554261760596181</v>
      </c>
    </row>
    <row r="74" ht="15.75" spans="1:7">
      <c r="A74" s="530" t="s">
        <v>173</v>
      </c>
      <c r="B74" s="74">
        <v>21.66</v>
      </c>
      <c r="C74" s="79">
        <f>B73</f>
        <v>21.47</v>
      </c>
      <c r="D74" s="80">
        <v>0</v>
      </c>
      <c r="E74" s="80">
        <v>0</v>
      </c>
      <c r="F74" s="81">
        <v>0</v>
      </c>
      <c r="G74" s="81">
        <v>0.00637119113573408</v>
      </c>
    </row>
    <row r="75" ht="15.75" spans="1:7">
      <c r="A75" s="530" t="s">
        <v>174</v>
      </c>
      <c r="B75" s="74">
        <v>22.53</v>
      </c>
      <c r="C75" s="79">
        <f t="shared" ref="C75:C123" si="1">B74</f>
        <v>21.66</v>
      </c>
      <c r="D75" s="80">
        <v>0</v>
      </c>
      <c r="E75" s="80">
        <v>0</v>
      </c>
      <c r="F75" s="81">
        <v>0</v>
      </c>
      <c r="G75" s="81">
        <v>0.00998668442077232</v>
      </c>
    </row>
    <row r="76" ht="15.75" spans="1:7">
      <c r="A76" s="530" t="s">
        <v>175</v>
      </c>
      <c r="B76" s="74">
        <v>23.24</v>
      </c>
      <c r="C76" s="79">
        <f t="shared" si="1"/>
        <v>22.53</v>
      </c>
      <c r="D76" s="80">
        <v>0</v>
      </c>
      <c r="E76" s="80">
        <v>0</v>
      </c>
      <c r="F76" s="81">
        <v>0</v>
      </c>
      <c r="G76" s="81">
        <v>0.012736660929432</v>
      </c>
    </row>
    <row r="77" ht="15.75" spans="1:7">
      <c r="A77" s="530" t="s">
        <v>176</v>
      </c>
      <c r="B77" s="74">
        <v>25.16</v>
      </c>
      <c r="C77" s="79">
        <f t="shared" si="1"/>
        <v>23.24</v>
      </c>
      <c r="D77" s="80">
        <v>0</v>
      </c>
      <c r="E77" s="80">
        <v>0</v>
      </c>
      <c r="F77" s="81">
        <v>0</v>
      </c>
      <c r="G77" s="81">
        <v>0.01939586645469</v>
      </c>
    </row>
    <row r="78" ht="15.75" spans="1:7">
      <c r="A78" s="530" t="s">
        <v>177</v>
      </c>
      <c r="B78" s="74">
        <v>26.24</v>
      </c>
      <c r="C78" s="79">
        <f t="shared" si="1"/>
        <v>25.16</v>
      </c>
      <c r="D78" s="80">
        <v>0</v>
      </c>
      <c r="E78" s="80">
        <v>0</v>
      </c>
      <c r="F78" s="81">
        <v>0</v>
      </c>
      <c r="G78" s="81">
        <v>0.0227134146341463</v>
      </c>
    </row>
    <row r="79" ht="15.75" spans="1:7">
      <c r="A79" s="530" t="s">
        <v>178</v>
      </c>
      <c r="B79" s="74">
        <v>27.34</v>
      </c>
      <c r="C79" s="79">
        <f t="shared" si="1"/>
        <v>26.24</v>
      </c>
      <c r="D79" s="80">
        <v>0</v>
      </c>
      <c r="E79" s="80">
        <v>0</v>
      </c>
      <c r="F79" s="81">
        <v>0.000242136064374563</v>
      </c>
      <c r="G79" s="81">
        <v>0.0258229700073153</v>
      </c>
    </row>
    <row r="80" ht="15.75" spans="1:7">
      <c r="A80" s="78" t="s">
        <v>179</v>
      </c>
      <c r="B80" s="74">
        <v>28.18</v>
      </c>
      <c r="C80" s="79">
        <f t="shared" si="1"/>
        <v>27.34</v>
      </c>
      <c r="D80" s="80">
        <v>0.00387331440738111</v>
      </c>
      <c r="E80" s="80">
        <v>0.000387331440738111</v>
      </c>
      <c r="F80" s="81">
        <v>0.00321575585521649</v>
      </c>
      <c r="G80" s="81">
        <v>0.0280340667139816</v>
      </c>
    </row>
    <row r="81" ht="15.75" spans="1:7">
      <c r="A81" s="78" t="s">
        <v>180</v>
      </c>
      <c r="B81" s="74">
        <v>29.69</v>
      </c>
      <c r="C81" s="79">
        <f t="shared" si="1"/>
        <v>28.18</v>
      </c>
      <c r="D81" s="80">
        <v>0.0545351970360391</v>
      </c>
      <c r="E81" s="80"/>
      <c r="F81" s="81">
        <v>0.0081380936342203</v>
      </c>
      <c r="G81" s="81">
        <v>0.0316941731222634</v>
      </c>
    </row>
    <row r="82" ht="15.75" spans="1:7">
      <c r="A82" s="78" t="s">
        <v>181</v>
      </c>
      <c r="B82" s="74">
        <v>30.18</v>
      </c>
      <c r="C82" s="79">
        <f t="shared" si="1"/>
        <v>29.69</v>
      </c>
      <c r="D82" s="80">
        <v>0.0698856858846918</v>
      </c>
      <c r="E82" s="80"/>
      <c r="F82" s="81">
        <v>0.00962955599734926</v>
      </c>
      <c r="G82" s="81">
        <v>0.0328031809145129</v>
      </c>
    </row>
    <row r="83" ht="15.75" spans="1:7">
      <c r="A83" s="78" t="s">
        <v>182</v>
      </c>
      <c r="B83" s="74">
        <v>30.71</v>
      </c>
      <c r="C83" s="79">
        <f t="shared" si="1"/>
        <v>30.18</v>
      </c>
      <c r="D83" s="80">
        <v>0.0859378052751547</v>
      </c>
      <c r="E83" s="80"/>
      <c r="F83" s="81">
        <v>0.0111891891891892</v>
      </c>
      <c r="G83" s="81">
        <v>0.0339628785411918</v>
      </c>
    </row>
    <row r="84" ht="15.75" spans="1:7">
      <c r="A84" s="78" t="s">
        <v>183</v>
      </c>
      <c r="B84" s="74">
        <v>31.08</v>
      </c>
      <c r="C84" s="79">
        <f t="shared" si="1"/>
        <v>30.71</v>
      </c>
      <c r="D84" s="80">
        <v>0.096819498069498</v>
      </c>
      <c r="E84" s="80">
        <v>0.0096819498069498</v>
      </c>
      <c r="F84" s="81">
        <v>0.0122464607464608</v>
      </c>
      <c r="G84" s="81">
        <v>0.0347490347490348</v>
      </c>
    </row>
    <row r="85" ht="15.75" spans="1:7">
      <c r="A85" s="78" t="s">
        <v>184</v>
      </c>
      <c r="B85" s="74">
        <v>31.42</v>
      </c>
      <c r="C85" s="79">
        <f t="shared" si="1"/>
        <v>31.08</v>
      </c>
      <c r="D85" s="80">
        <v>0.106592934436665</v>
      </c>
      <c r="E85" s="80">
        <v>0.0106592934436665</v>
      </c>
      <c r="F85" s="81">
        <v>0.013196053469128</v>
      </c>
      <c r="G85" s="81">
        <v>0.0354551241247613</v>
      </c>
    </row>
    <row r="86" ht="15.75" spans="1:7">
      <c r="A86" s="78" t="s">
        <v>185</v>
      </c>
      <c r="B86" s="74">
        <v>32.46</v>
      </c>
      <c r="C86" s="79">
        <f t="shared" si="1"/>
        <v>31.42</v>
      </c>
      <c r="D86" s="80">
        <v>0.13521719038817</v>
      </c>
      <c r="E86" s="80">
        <v>0.013521719038817</v>
      </c>
      <c r="F86" s="81">
        <v>0.015977202711029</v>
      </c>
      <c r="G86" s="81">
        <v>0.0375231053604436</v>
      </c>
    </row>
    <row r="87" ht="15.75" spans="1:7">
      <c r="A87" s="78" t="s">
        <v>186</v>
      </c>
      <c r="B87" s="74">
        <v>33.19</v>
      </c>
      <c r="C87" s="79">
        <f t="shared" si="1"/>
        <v>32.46</v>
      </c>
      <c r="D87" s="80">
        <v>0.154237722205484</v>
      </c>
      <c r="E87" s="80">
        <v>0.0154237722205484</v>
      </c>
      <c r="F87" s="81">
        <v>0.0178252485688461</v>
      </c>
      <c r="G87" s="81">
        <v>0.0388972582103043</v>
      </c>
    </row>
    <row r="88" ht="15.75" spans="1:7">
      <c r="A88" s="78" t="s">
        <v>187</v>
      </c>
      <c r="B88" s="74">
        <v>34.14</v>
      </c>
      <c r="C88" s="79">
        <f t="shared" si="1"/>
        <v>33.19</v>
      </c>
      <c r="D88" s="80">
        <v>0.177772407732865</v>
      </c>
      <c r="E88" s="80">
        <v>0.0177772407732865</v>
      </c>
      <c r="F88" s="81">
        <v>0.020111892208553</v>
      </c>
      <c r="G88" s="81">
        <v>0.043585237258348</v>
      </c>
    </row>
    <row r="89" ht="15.75" spans="1:7">
      <c r="A89" s="78" t="s">
        <v>188</v>
      </c>
      <c r="B89" s="74">
        <v>35.71</v>
      </c>
      <c r="C89" s="79">
        <f t="shared" si="1"/>
        <v>34.14</v>
      </c>
      <c r="D89" s="80">
        <v>0.213921870624475</v>
      </c>
      <c r="E89" s="80">
        <v>0.0213921870624475</v>
      </c>
      <c r="F89" s="81">
        <v>0.0236241949033884</v>
      </c>
      <c r="G89" s="81">
        <v>0.0592551106132736</v>
      </c>
    </row>
    <row r="90" ht="15.75" spans="1:7">
      <c r="A90" s="78" t="s">
        <v>189</v>
      </c>
      <c r="B90" s="74">
        <v>36.34</v>
      </c>
      <c r="C90" s="79">
        <f t="shared" si="1"/>
        <v>35.71</v>
      </c>
      <c r="D90" s="80">
        <v>0.227549532195927</v>
      </c>
      <c r="E90" s="80">
        <v>0.0227549532195927</v>
      </c>
      <c r="F90" s="81">
        <v>0.0249482663731426</v>
      </c>
      <c r="G90" s="81">
        <v>0.0651623555310953</v>
      </c>
    </row>
    <row r="91" ht="15.75" spans="1:7">
      <c r="A91" s="78" t="s">
        <v>190</v>
      </c>
      <c r="B91" s="74">
        <v>37.05</v>
      </c>
      <c r="C91" s="79">
        <f t="shared" si="1"/>
        <v>36.34</v>
      </c>
      <c r="D91" s="80">
        <v>0.242352226720648</v>
      </c>
      <c r="E91" s="80">
        <v>0.0242352226720648</v>
      </c>
      <c r="F91" s="81">
        <v>0.0263865047233468</v>
      </c>
      <c r="G91" s="81">
        <v>0.0715789473684211</v>
      </c>
    </row>
    <row r="92" ht="15.75" spans="1:7">
      <c r="A92" s="78" t="s">
        <v>191</v>
      </c>
      <c r="B92" s="74">
        <v>40.04</v>
      </c>
      <c r="C92" s="79">
        <f t="shared" si="1"/>
        <v>37.05</v>
      </c>
      <c r="D92" s="80">
        <v>0.29892982017982</v>
      </c>
      <c r="E92" s="80">
        <v>0.029892982017982</v>
      </c>
      <c r="F92" s="81">
        <v>0.0318836163836164</v>
      </c>
      <c r="G92" s="81">
        <v>0.0961038961038961</v>
      </c>
    </row>
    <row r="93" ht="15.75" spans="1:7">
      <c r="A93" s="78" t="s">
        <v>192</v>
      </c>
      <c r="B93" s="74">
        <v>41.51</v>
      </c>
      <c r="C93" s="79">
        <f t="shared" si="1"/>
        <v>40.04</v>
      </c>
      <c r="D93" s="80">
        <v>0.323756926041918</v>
      </c>
      <c r="E93" s="80">
        <v>0.0323756926041918</v>
      </c>
      <c r="F93" s="81">
        <v>0.0342958323295592</v>
      </c>
      <c r="G93" s="81">
        <v>0.106865815466153</v>
      </c>
    </row>
    <row r="94" ht="15.75" spans="1:7">
      <c r="A94" s="78" t="s">
        <v>193</v>
      </c>
      <c r="B94" s="74">
        <v>42.09</v>
      </c>
      <c r="C94" s="79">
        <f t="shared" si="1"/>
        <v>41.51</v>
      </c>
      <c r="D94" s="80">
        <v>0.333075552387741</v>
      </c>
      <c r="E94" s="80">
        <v>0.0333075552387741</v>
      </c>
      <c r="F94" s="81">
        <v>0.0352012354478499</v>
      </c>
      <c r="G94" s="81">
        <v>0.110905203136137</v>
      </c>
    </row>
    <row r="95" ht="15.75" spans="1:7">
      <c r="A95" s="78" t="s">
        <v>194</v>
      </c>
      <c r="B95" s="74">
        <v>42.4</v>
      </c>
      <c r="C95" s="79">
        <f t="shared" si="1"/>
        <v>42.09</v>
      </c>
      <c r="D95" s="80">
        <v>0.337951650943396</v>
      </c>
      <c r="E95" s="80">
        <v>0.0337951650943396</v>
      </c>
      <c r="F95" s="81">
        <v>0.035675</v>
      </c>
      <c r="G95" s="81">
        <v>0.113018867924528</v>
      </c>
    </row>
    <row r="96" ht="15.75" spans="1:7">
      <c r="A96" s="78" t="s">
        <v>195</v>
      </c>
      <c r="B96" s="74">
        <v>43.94</v>
      </c>
      <c r="C96" s="79">
        <f t="shared" si="1"/>
        <v>42.4</v>
      </c>
      <c r="D96" s="80">
        <v>0.361154984069185</v>
      </c>
      <c r="E96" s="80">
        <v>0.0361154984069185</v>
      </c>
      <c r="F96" s="81">
        <v>0.0379294492489759</v>
      </c>
      <c r="G96" s="81">
        <v>0.123076923076923</v>
      </c>
    </row>
    <row r="97" ht="15.75" spans="1:7">
      <c r="A97" s="78" t="s">
        <v>196</v>
      </c>
      <c r="B97" s="74">
        <v>44.67</v>
      </c>
      <c r="C97" s="79">
        <f t="shared" si="1"/>
        <v>43.94</v>
      </c>
      <c r="D97" s="80">
        <v>0.371595030221625</v>
      </c>
      <c r="E97" s="80">
        <v>0.0371595030221625</v>
      </c>
      <c r="F97" s="81">
        <v>0.0389438101634207</v>
      </c>
      <c r="G97" s="81">
        <v>0.12760241773002</v>
      </c>
    </row>
    <row r="98" ht="15.75" spans="1:7">
      <c r="A98" s="78" t="s">
        <v>197</v>
      </c>
      <c r="B98" s="74">
        <v>45.57</v>
      </c>
      <c r="C98" s="79">
        <f t="shared" si="1"/>
        <v>44.67</v>
      </c>
      <c r="D98" s="80">
        <v>0.384005924950625</v>
      </c>
      <c r="E98" s="80">
        <v>0.0384005924950625</v>
      </c>
      <c r="F98" s="81">
        <v>0.0408979591836735</v>
      </c>
      <c r="G98" s="81">
        <v>0.132982225148124</v>
      </c>
    </row>
    <row r="99" ht="15.75" spans="1:7">
      <c r="A99" s="78" t="s">
        <v>198</v>
      </c>
      <c r="B99" s="74">
        <v>47.1</v>
      </c>
      <c r="C99" s="79">
        <f t="shared" si="1"/>
        <v>45.57</v>
      </c>
      <c r="D99" s="80">
        <v>0.404015923566879</v>
      </c>
      <c r="E99" s="80">
        <v>0.0424095541401274</v>
      </c>
      <c r="F99" s="81">
        <v>0.0525630573248408</v>
      </c>
      <c r="G99" s="81">
        <v>0.141656050955414</v>
      </c>
    </row>
    <row r="100" ht="15.75" spans="1:7">
      <c r="A100" s="78" t="s">
        <v>199</v>
      </c>
      <c r="B100" s="74">
        <v>48.35</v>
      </c>
      <c r="C100" s="79">
        <f t="shared" si="1"/>
        <v>47.1</v>
      </c>
      <c r="D100" s="80">
        <v>0.419423991726991</v>
      </c>
      <c r="E100" s="80">
        <v>0.0516543950361944</v>
      </c>
      <c r="F100" s="81">
        <v>0.061545398138573</v>
      </c>
      <c r="G100" s="81">
        <v>0.148335056876939</v>
      </c>
    </row>
    <row r="101" ht="15.75" spans="1:7">
      <c r="A101" s="78" t="s">
        <v>200</v>
      </c>
      <c r="B101" s="74">
        <v>49.12</v>
      </c>
      <c r="C101" s="79">
        <f t="shared" si="1"/>
        <v>48.35</v>
      </c>
      <c r="D101" s="80">
        <v>0.428525040716612</v>
      </c>
      <c r="E101" s="80">
        <v>0.0571150244299674</v>
      </c>
      <c r="F101" s="81">
        <v>0.0668509771986971</v>
      </c>
      <c r="G101" s="81">
        <v>0.15228013029316</v>
      </c>
    </row>
    <row r="102" ht="15.75" spans="1:7">
      <c r="A102" s="78" t="s">
        <v>201</v>
      </c>
      <c r="B102" s="74">
        <v>49.35</v>
      </c>
      <c r="C102" s="79">
        <f t="shared" si="1"/>
        <v>49.12</v>
      </c>
      <c r="D102" s="80">
        <v>0.431188449848024</v>
      </c>
      <c r="E102" s="80">
        <v>0.0587130699088146</v>
      </c>
      <c r="F102" s="81">
        <v>0.0684036474164134</v>
      </c>
      <c r="G102" s="81">
        <v>0.153434650455927</v>
      </c>
    </row>
    <row r="103" ht="15.75" spans="1:7">
      <c r="A103" s="78" t="s">
        <v>202</v>
      </c>
      <c r="B103" s="74">
        <v>49.76</v>
      </c>
      <c r="C103" s="79">
        <f t="shared" si="1"/>
        <v>49.35</v>
      </c>
      <c r="D103" s="80">
        <v>0.43587520096463</v>
      </c>
      <c r="E103" s="80">
        <v>0.0615251205787781</v>
      </c>
      <c r="F103" s="81">
        <v>0.0711358520900322</v>
      </c>
      <c r="G103" s="81">
        <v>0.155466237942122</v>
      </c>
    </row>
    <row r="104" ht="15.75" spans="1:7">
      <c r="A104" s="78" t="s">
        <v>203</v>
      </c>
      <c r="B104" s="74">
        <v>50.44</v>
      </c>
      <c r="C104" s="79">
        <f t="shared" si="1"/>
        <v>49.76</v>
      </c>
      <c r="D104" s="80">
        <v>0.443480372720063</v>
      </c>
      <c r="E104" s="80">
        <v>0.066088223632038</v>
      </c>
      <c r="F104" s="81">
        <v>0.0755693893735131</v>
      </c>
      <c r="G104" s="81">
        <v>0.158762886597938</v>
      </c>
    </row>
    <row r="105" ht="15.75" spans="1:7">
      <c r="A105" s="78" t="s">
        <v>204</v>
      </c>
      <c r="B105" s="74">
        <v>51.72</v>
      </c>
      <c r="C105" s="79">
        <f t="shared" si="1"/>
        <v>50.44</v>
      </c>
      <c r="D105" s="80">
        <v>0.457253480278422</v>
      </c>
      <c r="E105" s="80">
        <v>0.0743520881670533</v>
      </c>
      <c r="F105" s="81">
        <v>0.0835986078886311</v>
      </c>
      <c r="G105" s="81">
        <v>0.164733178654292</v>
      </c>
    </row>
    <row r="106" ht="15.75" spans="1:7">
      <c r="A106" s="78" t="s">
        <v>205</v>
      </c>
      <c r="B106" s="74">
        <v>56.41</v>
      </c>
      <c r="C106" s="79">
        <f t="shared" si="1"/>
        <v>51.72</v>
      </c>
      <c r="D106" s="80">
        <v>0.50237812444602</v>
      </c>
      <c r="E106" s="80">
        <v>0.101426874667612</v>
      </c>
      <c r="F106" s="81">
        <v>0.109904626839213</v>
      </c>
      <c r="G106" s="81">
        <v>0.18429356497075</v>
      </c>
    </row>
    <row r="107" ht="15.75" spans="1:7">
      <c r="A107" s="78" t="s">
        <v>206</v>
      </c>
      <c r="B107" s="74">
        <v>56.96</v>
      </c>
      <c r="C107" s="79">
        <f t="shared" si="1"/>
        <v>56.41</v>
      </c>
      <c r="D107" s="80">
        <v>0.507183110955056</v>
      </c>
      <c r="E107" s="80">
        <v>0.104309866573034</v>
      </c>
      <c r="F107" s="81">
        <v>0.112705758426966</v>
      </c>
      <c r="G107" s="81">
        <v>0.186376404494382</v>
      </c>
    </row>
    <row r="108" ht="15.75" spans="1:7">
      <c r="A108" s="78" t="s">
        <v>207</v>
      </c>
      <c r="B108" s="74">
        <v>57.56</v>
      </c>
      <c r="C108" s="79">
        <f t="shared" si="1"/>
        <v>56.96</v>
      </c>
      <c r="D108" s="80">
        <v>0.512320187630299</v>
      </c>
      <c r="E108" s="80">
        <v>0.107392112578179</v>
      </c>
      <c r="F108" s="81">
        <v>0.115700486448923</v>
      </c>
      <c r="G108" s="81">
        <v>0.18860319666435</v>
      </c>
    </row>
    <row r="109" ht="15.75" spans="1:7">
      <c r="A109" s="78" t="s">
        <v>208</v>
      </c>
      <c r="B109" s="74">
        <v>60.09</v>
      </c>
      <c r="C109" s="79">
        <f t="shared" si="1"/>
        <v>57.56</v>
      </c>
      <c r="D109" s="80">
        <v>0.532853220169745</v>
      </c>
      <c r="E109" s="80">
        <v>0.119711932101847</v>
      </c>
      <c r="F109" s="81">
        <v>0.127670494258612</v>
      </c>
      <c r="G109" s="81">
        <v>0.197503744383425</v>
      </c>
    </row>
    <row r="110" ht="15.75" spans="1:7">
      <c r="A110" s="78" t="s">
        <v>209</v>
      </c>
      <c r="B110" s="74">
        <v>60.73</v>
      </c>
      <c r="C110" s="79">
        <f t="shared" si="1"/>
        <v>60.09</v>
      </c>
      <c r="D110" s="80">
        <v>0.537776222624732</v>
      </c>
      <c r="E110" s="80">
        <v>0.122665733574839</v>
      </c>
      <c r="F110" s="81">
        <v>0.13054042483122</v>
      </c>
      <c r="G110" s="81">
        <v>0.199637740820023</v>
      </c>
    </row>
    <row r="111" ht="15.75" spans="1:7">
      <c r="A111" s="78" t="s">
        <v>210</v>
      </c>
      <c r="B111" s="74">
        <v>61.45</v>
      </c>
      <c r="C111" s="79">
        <f t="shared" si="1"/>
        <v>60.73</v>
      </c>
      <c r="D111" s="80">
        <v>0.543192026037429</v>
      </c>
      <c r="E111" s="80">
        <v>0.125915215622457</v>
      </c>
      <c r="F111" s="81">
        <v>0.133697640358015</v>
      </c>
      <c r="G111" s="81">
        <v>0.201985353946298</v>
      </c>
    </row>
    <row r="112" ht="15.75" spans="1:7">
      <c r="A112" s="78" t="s">
        <v>211</v>
      </c>
      <c r="B112" s="74">
        <v>62.33</v>
      </c>
      <c r="C112" s="79">
        <f t="shared" si="1"/>
        <v>61.45</v>
      </c>
      <c r="D112" s="80">
        <v>0.549641424675116</v>
      </c>
      <c r="E112" s="80">
        <v>0.12978485480507</v>
      </c>
      <c r="F112" s="81">
        <v>0.137457404139259</v>
      </c>
      <c r="G112" s="81">
        <v>0.204781004331782</v>
      </c>
    </row>
    <row r="113" ht="15.75" spans="1:7">
      <c r="A113" s="78" t="s">
        <v>212</v>
      </c>
      <c r="B113" s="74">
        <v>64.45</v>
      </c>
      <c r="C113" s="79">
        <f t="shared" si="1"/>
        <v>62.33</v>
      </c>
      <c r="D113" s="80">
        <v>0.564455391776571</v>
      </c>
      <c r="E113" s="80">
        <v>0.138673235065943</v>
      </c>
      <c r="F113" s="81">
        <v>0.146093405740884</v>
      </c>
      <c r="G113" s="81">
        <v>0.211202482544608</v>
      </c>
    </row>
    <row r="114" ht="15.75" spans="1:7">
      <c r="A114" s="78" t="s">
        <v>213</v>
      </c>
      <c r="B114" s="74">
        <v>67.76</v>
      </c>
      <c r="C114" s="79">
        <f t="shared" si="1"/>
        <v>64.45</v>
      </c>
      <c r="D114" s="80">
        <v>0.585731257378985</v>
      </c>
      <c r="E114" s="80">
        <v>0.151438754427391</v>
      </c>
      <c r="F114" s="81">
        <v>0.158496458087367</v>
      </c>
      <c r="G114" s="81">
        <v>0.220425029515939</v>
      </c>
    </row>
    <row r="115" ht="15.75" spans="1:7">
      <c r="A115" s="78" t="s">
        <v>214</v>
      </c>
      <c r="B115" s="74">
        <v>72.09</v>
      </c>
      <c r="C115" s="79">
        <f t="shared" si="1"/>
        <v>67.76</v>
      </c>
      <c r="D115" s="80">
        <v>0.610613816063254</v>
      </c>
      <c r="E115" s="80">
        <v>0.166368289637953</v>
      </c>
      <c r="F115" s="81">
        <v>0.173002080732418</v>
      </c>
      <c r="G115" s="81">
        <v>0.231210986267166</v>
      </c>
    </row>
    <row r="116" ht="15.75" spans="1:7">
      <c r="A116" s="78" t="s">
        <v>215</v>
      </c>
      <c r="B116" s="74">
        <v>76.72</v>
      </c>
      <c r="C116" s="79">
        <f t="shared" si="1"/>
        <v>72.09</v>
      </c>
      <c r="D116" s="80">
        <v>0.634113008342023</v>
      </c>
      <c r="E116" s="80">
        <v>0.180467805005214</v>
      </c>
      <c r="F116" s="81">
        <v>0.186701251303441</v>
      </c>
      <c r="G116" s="81">
        <v>0.241397288842544</v>
      </c>
    </row>
    <row r="117" ht="15.75" spans="1:7">
      <c r="A117" s="78" t="s">
        <v>216</v>
      </c>
      <c r="B117" s="74">
        <v>85.05</v>
      </c>
      <c r="C117" s="79">
        <f t="shared" si="1"/>
        <v>76.72</v>
      </c>
      <c r="D117" s="80">
        <v>0.66994885361552</v>
      </c>
      <c r="E117" s="80">
        <v>0.201969312169312</v>
      </c>
      <c r="F117" s="81">
        <v>0.207592239858907</v>
      </c>
      <c r="G117" s="81">
        <v>0.256931216931217</v>
      </c>
    </row>
    <row r="118" ht="15.75" spans="1:7">
      <c r="A118" s="78" t="s">
        <v>217</v>
      </c>
      <c r="B118" s="74">
        <v>94.56</v>
      </c>
      <c r="C118" s="79">
        <f t="shared" si="1"/>
        <v>85.05</v>
      </c>
      <c r="D118" s="80">
        <v>0.703142449238579</v>
      </c>
      <c r="E118" s="80">
        <v>0.221885469543147</v>
      </c>
      <c r="F118" s="81">
        <v>0.226942893401015</v>
      </c>
      <c r="G118" s="81">
        <v>0.271319796954315</v>
      </c>
    </row>
    <row r="119" ht="15.75" spans="1:7">
      <c r="A119" s="78" t="s">
        <v>218</v>
      </c>
      <c r="B119" s="74">
        <v>108.11</v>
      </c>
      <c r="C119" s="79">
        <f t="shared" si="1"/>
        <v>94.56</v>
      </c>
      <c r="D119" s="80">
        <v>0.740349181389326</v>
      </c>
      <c r="E119" s="80">
        <v>0.244209508833595</v>
      </c>
      <c r="F119" s="81">
        <v>0.248633058921469</v>
      </c>
      <c r="G119" s="81">
        <v>0.287447969660531</v>
      </c>
    </row>
    <row r="120" ht="15.75" spans="1:7">
      <c r="A120" s="78" t="s">
        <v>219</v>
      </c>
      <c r="B120" s="74">
        <v>123.95</v>
      </c>
      <c r="C120" s="79">
        <f t="shared" si="1"/>
        <v>108.11</v>
      </c>
      <c r="D120" s="80">
        <v>0.773530859217426</v>
      </c>
      <c r="E120" s="80">
        <v>0.264118515530456</v>
      </c>
      <c r="F120" s="81">
        <v>0.267976764824526</v>
      </c>
      <c r="G120" s="81">
        <v>0.301831383622428</v>
      </c>
    </row>
    <row r="121" ht="15.75" spans="1:7">
      <c r="A121" s="78" t="s">
        <v>220</v>
      </c>
      <c r="B121" s="74">
        <v>175.05</v>
      </c>
      <c r="C121" s="79">
        <f t="shared" si="1"/>
        <v>123.95</v>
      </c>
      <c r="D121" s="80">
        <v>0.839640959725793</v>
      </c>
      <c r="E121" s="80">
        <v>0.303784575835476</v>
      </c>
      <c r="F121" s="81">
        <v>0.306516538131962</v>
      </c>
      <c r="G121" s="81">
        <v>0.330488431876607</v>
      </c>
    </row>
    <row r="122" ht="15.75" spans="1:7">
      <c r="A122" s="78" t="s">
        <v>221</v>
      </c>
      <c r="B122" s="286">
        <v>206.49</v>
      </c>
      <c r="C122" s="79">
        <f t="shared" si="1"/>
        <v>175.05</v>
      </c>
      <c r="D122" s="80">
        <v>0.86405709719599</v>
      </c>
      <c r="E122" s="80">
        <v>0.318434258317594</v>
      </c>
      <c r="F122" s="81">
        <v>0.320750254249601</v>
      </c>
      <c r="G122" s="81">
        <v>0.341072206886532</v>
      </c>
    </row>
    <row r="123" ht="15.75" spans="1:7">
      <c r="A123" s="78" t="s">
        <v>221</v>
      </c>
      <c r="B123" s="116" t="s">
        <v>388</v>
      </c>
      <c r="C123" s="79">
        <f t="shared" si="1"/>
        <v>206.49</v>
      </c>
      <c r="D123" s="83" t="s">
        <v>232</v>
      </c>
      <c r="E123" s="83"/>
      <c r="F123" s="84"/>
      <c r="G123" s="84"/>
    </row>
    <row r="124" spans="1:7">
      <c r="A124" s="78"/>
      <c r="B124" s="78"/>
      <c r="C124" s="78"/>
      <c r="D124" s="83"/>
      <c r="E124" s="85">
        <v>0.0762466063511845</v>
      </c>
      <c r="F124" s="86">
        <v>0.0806321233437168</v>
      </c>
      <c r="G124" s="86">
        <v>0.131140024415403</v>
      </c>
    </row>
    <row r="125" ht="48.75" spans="1:7">
      <c r="A125" s="87" t="s">
        <v>233</v>
      </c>
      <c r="B125" s="116">
        <v>33.8</v>
      </c>
      <c r="C125" s="78"/>
      <c r="D125" s="83"/>
      <c r="E125" s="127">
        <v>46.78475</v>
      </c>
      <c r="F125" s="128">
        <v>45.4563333333333</v>
      </c>
      <c r="G125" s="129">
        <v>33.8</v>
      </c>
    </row>
    <row r="126" ht="48.75" spans="1:7">
      <c r="A126" s="87" t="s">
        <v>224</v>
      </c>
      <c r="B126" s="116">
        <v>52.47</v>
      </c>
      <c r="C126" s="78"/>
      <c r="D126" s="83"/>
      <c r="E126" s="83"/>
      <c r="F126" s="84"/>
      <c r="G126" s="84"/>
    </row>
    <row r="127" ht="84.75" spans="1:7">
      <c r="A127" s="106" t="s">
        <v>225</v>
      </c>
      <c r="B127" s="116">
        <v>20.28</v>
      </c>
      <c r="C127" s="78"/>
      <c r="D127" s="83"/>
      <c r="E127" s="83">
        <v>28.07085</v>
      </c>
      <c r="F127" s="84">
        <v>27.2738</v>
      </c>
      <c r="G127" s="84">
        <v>20.28</v>
      </c>
    </row>
    <row r="129" ht="48.75" spans="1:2">
      <c r="A129" s="256" t="s">
        <v>224</v>
      </c>
      <c r="B129">
        <f>B126</f>
        <v>52.47</v>
      </c>
    </row>
    <row r="130" spans="1:3">
      <c r="A130" s="531" t="s">
        <v>226</v>
      </c>
      <c r="B130" s="95">
        <f>AVERAGE(B78:B117)</f>
        <v>46.78475</v>
      </c>
      <c r="C130" s="95"/>
    </row>
    <row r="131" spans="1:3">
      <c r="A131" s="531" t="s">
        <v>227</v>
      </c>
      <c r="B131" s="96">
        <f>AVERAGE(B83:B112)</f>
        <v>45.4563333333333</v>
      </c>
      <c r="C131" s="96"/>
    </row>
    <row r="132" spans="1:3">
      <c r="A132" s="531" t="s">
        <v>228</v>
      </c>
      <c r="B132" s="96">
        <f>AVERAGE(B89:B107)</f>
        <v>45.7121052631579</v>
      </c>
      <c r="C132" s="96"/>
    </row>
    <row r="133" ht="15.75"/>
    <row r="134" ht="15.75" spans="1:7">
      <c r="A134" s="252" t="s">
        <v>165</v>
      </c>
      <c r="B134" s="67" t="s">
        <v>347</v>
      </c>
      <c r="C134" s="68"/>
      <c r="D134" s="69"/>
      <c r="E134" s="70" t="e">
        <f>(1-E189)^(1/3)-1</f>
        <v>#DIV/0!</v>
      </c>
      <c r="F134" s="70" t="e">
        <f>(1-F189)^(1/3)-1</f>
        <v>#DIV/0!</v>
      </c>
      <c r="G134" s="70"/>
    </row>
    <row r="135" ht="72.75" spans="1:7">
      <c r="A135" s="253"/>
      <c r="B135" s="72" t="s">
        <v>167</v>
      </c>
      <c r="C135" s="107"/>
      <c r="D135" s="83" t="s">
        <v>168</v>
      </c>
      <c r="E135" s="83" t="s">
        <v>169</v>
      </c>
      <c r="F135" s="84" t="s">
        <v>169</v>
      </c>
      <c r="G135" s="84"/>
    </row>
    <row r="136" ht="24.75" spans="1:7">
      <c r="A136" s="254"/>
      <c r="B136" s="72" t="s">
        <v>235</v>
      </c>
      <c r="C136" s="107"/>
      <c r="D136" s="83" t="s">
        <v>171</v>
      </c>
      <c r="E136" s="83" t="s">
        <v>171</v>
      </c>
      <c r="F136" s="84" t="s">
        <v>171</v>
      </c>
      <c r="G136" s="84"/>
    </row>
    <row r="137" ht="15.75" spans="1:7">
      <c r="A137" s="75">
        <v>1</v>
      </c>
      <c r="B137" s="76">
        <v>2</v>
      </c>
      <c r="C137" s="76"/>
      <c r="D137" s="76">
        <v>3</v>
      </c>
      <c r="E137" s="76">
        <v>4</v>
      </c>
      <c r="F137" s="77">
        <v>5</v>
      </c>
      <c r="G137" s="77"/>
    </row>
    <row r="138" ht="15.75" spans="1:7">
      <c r="A138" s="533" t="s">
        <v>172</v>
      </c>
      <c r="B138" s="272"/>
      <c r="C138" s="112">
        <v>0</v>
      </c>
      <c r="D138" s="80">
        <f t="shared" ref="D138:D187" si="2">IF(B138=0,0,IF(B138&lt;=E$192,0,B138-E$192)/B138)</f>
        <v>0</v>
      </c>
      <c r="E138" s="80"/>
      <c r="F138" s="81"/>
      <c r="G138" s="81"/>
    </row>
    <row r="139" ht="15.75" spans="1:7">
      <c r="A139" s="533" t="s">
        <v>173</v>
      </c>
      <c r="B139" s="74"/>
      <c r="C139" s="79">
        <f>B138</f>
        <v>0</v>
      </c>
      <c r="D139" s="80">
        <f t="shared" si="2"/>
        <v>0</v>
      </c>
      <c r="E139" s="80"/>
      <c r="F139" s="81"/>
      <c r="G139" s="81"/>
    </row>
    <row r="140" ht="15.75" spans="1:7">
      <c r="A140" s="533" t="s">
        <v>174</v>
      </c>
      <c r="B140" s="74"/>
      <c r="C140" s="79">
        <f t="shared" ref="C140:C188" si="3">B139</f>
        <v>0</v>
      </c>
      <c r="D140" s="80">
        <f t="shared" si="2"/>
        <v>0</v>
      </c>
      <c r="E140" s="80"/>
      <c r="F140" s="81"/>
      <c r="G140" s="81"/>
    </row>
    <row r="141" ht="15.75" spans="1:7">
      <c r="A141" s="533" t="s">
        <v>175</v>
      </c>
      <c r="B141" s="74"/>
      <c r="C141" s="79">
        <f t="shared" si="3"/>
        <v>0</v>
      </c>
      <c r="D141" s="80">
        <f t="shared" si="2"/>
        <v>0</v>
      </c>
      <c r="E141" s="80"/>
      <c r="F141" s="81"/>
      <c r="G141" s="81"/>
    </row>
    <row r="142" ht="15.75" spans="1:7">
      <c r="A142" s="533" t="s">
        <v>176</v>
      </c>
      <c r="B142" s="74"/>
      <c r="C142" s="79">
        <f t="shared" si="3"/>
        <v>0</v>
      </c>
      <c r="D142" s="80">
        <f t="shared" si="2"/>
        <v>0</v>
      </c>
      <c r="E142" s="80"/>
      <c r="F142" s="81"/>
      <c r="G142" s="81"/>
    </row>
    <row r="143" ht="15.75" spans="1:7">
      <c r="A143" s="533" t="s">
        <v>177</v>
      </c>
      <c r="B143" s="74"/>
      <c r="C143" s="79">
        <f t="shared" si="3"/>
        <v>0</v>
      </c>
      <c r="D143" s="80">
        <f t="shared" si="2"/>
        <v>0</v>
      </c>
      <c r="E143" s="80"/>
      <c r="F143" s="81"/>
      <c r="G143" s="81"/>
    </row>
    <row r="144" ht="15.75" spans="1:7">
      <c r="A144" s="533" t="s">
        <v>178</v>
      </c>
      <c r="B144" s="74"/>
      <c r="C144" s="79">
        <f t="shared" si="3"/>
        <v>0</v>
      </c>
      <c r="D144" s="80">
        <f t="shared" si="2"/>
        <v>0</v>
      </c>
      <c r="E144" s="80"/>
      <c r="F144" s="81"/>
      <c r="G144" s="81"/>
    </row>
    <row r="145" ht="15.75" spans="1:7">
      <c r="A145" s="257" t="s">
        <v>179</v>
      </c>
      <c r="B145" s="74"/>
      <c r="C145" s="79">
        <f t="shared" si="3"/>
        <v>0</v>
      </c>
      <c r="D145" s="80">
        <f t="shared" si="2"/>
        <v>0</v>
      </c>
      <c r="E145" s="80"/>
      <c r="F145" s="81"/>
      <c r="G145" s="81"/>
    </row>
    <row r="146" ht="15.75" spans="1:7">
      <c r="A146" s="257" t="s">
        <v>180</v>
      </c>
      <c r="B146" s="74"/>
      <c r="C146" s="79">
        <f t="shared" si="3"/>
        <v>0</v>
      </c>
      <c r="D146" s="80">
        <f t="shared" si="2"/>
        <v>0</v>
      </c>
      <c r="E146" s="80"/>
      <c r="F146" s="81"/>
      <c r="G146" s="81"/>
    </row>
    <row r="147" ht="15.75" spans="1:7">
      <c r="A147" s="257" t="s">
        <v>181</v>
      </c>
      <c r="B147" s="74"/>
      <c r="C147" s="79">
        <f t="shared" si="3"/>
        <v>0</v>
      </c>
      <c r="D147" s="80">
        <f t="shared" si="2"/>
        <v>0</v>
      </c>
      <c r="E147" s="80"/>
      <c r="F147" s="81"/>
      <c r="G147" s="81"/>
    </row>
    <row r="148" ht="15.75" spans="1:7">
      <c r="A148" s="257" t="s">
        <v>182</v>
      </c>
      <c r="B148" s="74"/>
      <c r="C148" s="79">
        <f t="shared" si="3"/>
        <v>0</v>
      </c>
      <c r="D148" s="80">
        <f t="shared" si="2"/>
        <v>0</v>
      </c>
      <c r="E148" s="80"/>
      <c r="F148" s="81"/>
      <c r="G148" s="81"/>
    </row>
    <row r="149" ht="15.75" spans="1:7">
      <c r="A149" s="257" t="s">
        <v>183</v>
      </c>
      <c r="B149" s="74"/>
      <c r="C149" s="79">
        <f t="shared" si="3"/>
        <v>0</v>
      </c>
      <c r="D149" s="80">
        <f t="shared" si="2"/>
        <v>0</v>
      </c>
      <c r="E149" s="80"/>
      <c r="F149" s="81"/>
      <c r="G149" s="81"/>
    </row>
    <row r="150" ht="15.75" spans="1:7">
      <c r="A150" s="257" t="s">
        <v>184</v>
      </c>
      <c r="B150" s="74"/>
      <c r="C150" s="79">
        <f t="shared" si="3"/>
        <v>0</v>
      </c>
      <c r="D150" s="80">
        <f t="shared" si="2"/>
        <v>0</v>
      </c>
      <c r="E150" s="80"/>
      <c r="F150" s="81"/>
      <c r="G150" s="81"/>
    </row>
    <row r="151" ht="15.75" spans="1:7">
      <c r="A151" s="257" t="s">
        <v>185</v>
      </c>
      <c r="B151" s="74"/>
      <c r="C151" s="79">
        <f t="shared" si="3"/>
        <v>0</v>
      </c>
      <c r="D151" s="80">
        <f t="shared" si="2"/>
        <v>0</v>
      </c>
      <c r="E151" s="80"/>
      <c r="F151" s="81"/>
      <c r="G151" s="81"/>
    </row>
    <row r="152" ht="15.75" spans="1:7">
      <c r="A152" s="257" t="s">
        <v>186</v>
      </c>
      <c r="B152" s="74"/>
      <c r="C152" s="79">
        <f t="shared" si="3"/>
        <v>0</v>
      </c>
      <c r="D152" s="80">
        <f t="shared" si="2"/>
        <v>0</v>
      </c>
      <c r="E152" s="80"/>
      <c r="F152" s="81"/>
      <c r="G152" s="81"/>
    </row>
    <row r="153" ht="15.75" spans="1:7">
      <c r="A153" s="257" t="s">
        <v>187</v>
      </c>
      <c r="B153" s="74"/>
      <c r="C153" s="79">
        <f t="shared" si="3"/>
        <v>0</v>
      </c>
      <c r="D153" s="80">
        <f t="shared" si="2"/>
        <v>0</v>
      </c>
      <c r="E153" s="80"/>
      <c r="F153" s="81"/>
      <c r="G153" s="81"/>
    </row>
    <row r="154" ht="15.75" spans="1:7">
      <c r="A154" s="257" t="s">
        <v>188</v>
      </c>
      <c r="B154" s="74"/>
      <c r="C154" s="79">
        <f t="shared" si="3"/>
        <v>0</v>
      </c>
      <c r="D154" s="80">
        <f t="shared" si="2"/>
        <v>0</v>
      </c>
      <c r="E154" s="80"/>
      <c r="F154" s="81"/>
      <c r="G154" s="81"/>
    </row>
    <row r="155" ht="15.75" spans="1:7">
      <c r="A155" s="257" t="s">
        <v>189</v>
      </c>
      <c r="B155" s="74"/>
      <c r="C155" s="79">
        <f t="shared" si="3"/>
        <v>0</v>
      </c>
      <c r="D155" s="80">
        <f t="shared" si="2"/>
        <v>0</v>
      </c>
      <c r="E155" s="80"/>
      <c r="F155" s="81"/>
      <c r="G155" s="81"/>
    </row>
    <row r="156" ht="15.75" spans="1:7">
      <c r="A156" s="257" t="s">
        <v>190</v>
      </c>
      <c r="B156" s="74"/>
      <c r="C156" s="79">
        <f t="shared" si="3"/>
        <v>0</v>
      </c>
      <c r="D156" s="80">
        <f t="shared" si="2"/>
        <v>0</v>
      </c>
      <c r="E156" s="80"/>
      <c r="F156" s="81"/>
      <c r="G156" s="81"/>
    </row>
    <row r="157" ht="15.75" spans="1:7">
      <c r="A157" s="257" t="s">
        <v>191</v>
      </c>
      <c r="B157" s="74"/>
      <c r="C157" s="79">
        <f t="shared" si="3"/>
        <v>0</v>
      </c>
      <c r="D157" s="80">
        <f t="shared" si="2"/>
        <v>0</v>
      </c>
      <c r="E157" s="80"/>
      <c r="F157" s="81"/>
      <c r="G157" s="81"/>
    </row>
    <row r="158" ht="15.75" spans="1:7">
      <c r="A158" s="257" t="s">
        <v>192</v>
      </c>
      <c r="B158" s="74"/>
      <c r="C158" s="79">
        <f t="shared" si="3"/>
        <v>0</v>
      </c>
      <c r="D158" s="80">
        <f t="shared" si="2"/>
        <v>0</v>
      </c>
      <c r="E158" s="80"/>
      <c r="F158" s="81"/>
      <c r="G158" s="81"/>
    </row>
    <row r="159" ht="15.75" spans="1:7">
      <c r="A159" s="257" t="s">
        <v>193</v>
      </c>
      <c r="B159" s="74"/>
      <c r="C159" s="79">
        <f t="shared" si="3"/>
        <v>0</v>
      </c>
      <c r="D159" s="80">
        <f t="shared" si="2"/>
        <v>0</v>
      </c>
      <c r="E159" s="80"/>
      <c r="F159" s="81"/>
      <c r="G159" s="81"/>
    </row>
    <row r="160" ht="15.75" spans="1:7">
      <c r="A160" s="257" t="s">
        <v>194</v>
      </c>
      <c r="B160" s="74"/>
      <c r="C160" s="79">
        <f t="shared" si="3"/>
        <v>0</v>
      </c>
      <c r="D160" s="80">
        <f t="shared" si="2"/>
        <v>0</v>
      </c>
      <c r="E160" s="80"/>
      <c r="F160" s="81"/>
      <c r="G160" s="81"/>
    </row>
    <row r="161" ht="15.75" spans="1:7">
      <c r="A161" s="257" t="s">
        <v>195</v>
      </c>
      <c r="B161" s="74"/>
      <c r="C161" s="79">
        <f t="shared" si="3"/>
        <v>0</v>
      </c>
      <c r="D161" s="80">
        <f t="shared" si="2"/>
        <v>0</v>
      </c>
      <c r="E161" s="80"/>
      <c r="F161" s="81"/>
      <c r="G161" s="81"/>
    </row>
    <row r="162" ht="15.75" spans="1:7">
      <c r="A162" s="257" t="s">
        <v>196</v>
      </c>
      <c r="B162" s="74"/>
      <c r="C162" s="79">
        <f t="shared" si="3"/>
        <v>0</v>
      </c>
      <c r="D162" s="80">
        <f t="shared" si="2"/>
        <v>0</v>
      </c>
      <c r="E162" s="80"/>
      <c r="F162" s="81"/>
      <c r="G162" s="81"/>
    </row>
    <row r="163" ht="15.75" spans="1:7">
      <c r="A163" s="257" t="s">
        <v>197</v>
      </c>
      <c r="B163" s="74"/>
      <c r="C163" s="79">
        <f t="shared" si="3"/>
        <v>0</v>
      </c>
      <c r="D163" s="80">
        <f t="shared" si="2"/>
        <v>0</v>
      </c>
      <c r="E163" s="80"/>
      <c r="F163" s="81"/>
      <c r="G163" s="81"/>
    </row>
    <row r="164" ht="15.75" spans="1:7">
      <c r="A164" s="257" t="s">
        <v>198</v>
      </c>
      <c r="B164" s="74"/>
      <c r="C164" s="79">
        <f t="shared" si="3"/>
        <v>0</v>
      </c>
      <c r="D164" s="80">
        <f t="shared" si="2"/>
        <v>0</v>
      </c>
      <c r="E164" s="80"/>
      <c r="F164" s="81"/>
      <c r="G164" s="81"/>
    </row>
    <row r="165" ht="15.75" spans="1:7">
      <c r="A165" s="257" t="s">
        <v>199</v>
      </c>
      <c r="B165" s="74"/>
      <c r="C165" s="79">
        <f t="shared" si="3"/>
        <v>0</v>
      </c>
      <c r="D165" s="80">
        <f t="shared" si="2"/>
        <v>0</v>
      </c>
      <c r="E165" s="80"/>
      <c r="F165" s="81"/>
      <c r="G165" s="81"/>
    </row>
    <row r="166" ht="15.75" spans="1:7">
      <c r="A166" s="257" t="s">
        <v>200</v>
      </c>
      <c r="B166" s="74"/>
      <c r="C166" s="79">
        <f t="shared" si="3"/>
        <v>0</v>
      </c>
      <c r="D166" s="80">
        <f t="shared" si="2"/>
        <v>0</v>
      </c>
      <c r="E166" s="80"/>
      <c r="F166" s="81"/>
      <c r="G166" s="81"/>
    </row>
    <row r="167" ht="15.75" spans="1:7">
      <c r="A167" s="257" t="s">
        <v>201</v>
      </c>
      <c r="B167" s="74"/>
      <c r="C167" s="79">
        <f t="shared" si="3"/>
        <v>0</v>
      </c>
      <c r="D167" s="80">
        <f t="shared" si="2"/>
        <v>0</v>
      </c>
      <c r="E167" s="80"/>
      <c r="F167" s="81"/>
      <c r="G167" s="81"/>
    </row>
    <row r="168" ht="15.75" spans="1:7">
      <c r="A168" s="257" t="s">
        <v>202</v>
      </c>
      <c r="B168" s="74"/>
      <c r="C168" s="79">
        <f t="shared" si="3"/>
        <v>0</v>
      </c>
      <c r="D168" s="80">
        <f t="shared" si="2"/>
        <v>0</v>
      </c>
      <c r="E168" s="80"/>
      <c r="F168" s="81"/>
      <c r="G168" s="81"/>
    </row>
    <row r="169" ht="15.75" spans="1:7">
      <c r="A169" s="257" t="s">
        <v>203</v>
      </c>
      <c r="B169" s="74"/>
      <c r="C169" s="79">
        <f t="shared" si="3"/>
        <v>0</v>
      </c>
      <c r="D169" s="80">
        <f t="shared" si="2"/>
        <v>0</v>
      </c>
      <c r="E169" s="80"/>
      <c r="F169" s="81"/>
      <c r="G169" s="81"/>
    </row>
    <row r="170" ht="15.75" spans="1:7">
      <c r="A170" s="257" t="s">
        <v>204</v>
      </c>
      <c r="B170" s="74"/>
      <c r="C170" s="79">
        <f t="shared" si="3"/>
        <v>0</v>
      </c>
      <c r="D170" s="80">
        <f t="shared" si="2"/>
        <v>0</v>
      </c>
      <c r="E170" s="80"/>
      <c r="F170" s="81"/>
      <c r="G170" s="81"/>
    </row>
    <row r="171" ht="15.75" spans="1:7">
      <c r="A171" s="257" t="s">
        <v>205</v>
      </c>
      <c r="B171" s="74"/>
      <c r="C171" s="79">
        <f t="shared" si="3"/>
        <v>0</v>
      </c>
      <c r="D171" s="80">
        <f t="shared" si="2"/>
        <v>0</v>
      </c>
      <c r="E171" s="80"/>
      <c r="F171" s="81"/>
      <c r="G171" s="81"/>
    </row>
    <row r="172" ht="15.75" spans="1:7">
      <c r="A172" s="257" t="s">
        <v>206</v>
      </c>
      <c r="B172" s="74"/>
      <c r="C172" s="79">
        <f t="shared" si="3"/>
        <v>0</v>
      </c>
      <c r="D172" s="80">
        <f t="shared" si="2"/>
        <v>0</v>
      </c>
      <c r="E172" s="80"/>
      <c r="F172" s="81"/>
      <c r="G172" s="81"/>
    </row>
    <row r="173" ht="15.75" spans="1:7">
      <c r="A173" s="257" t="s">
        <v>207</v>
      </c>
      <c r="B173" s="74"/>
      <c r="C173" s="79">
        <f t="shared" si="3"/>
        <v>0</v>
      </c>
      <c r="D173" s="80">
        <f t="shared" si="2"/>
        <v>0</v>
      </c>
      <c r="E173" s="80"/>
      <c r="F173" s="81"/>
      <c r="G173" s="81"/>
    </row>
    <row r="174" ht="15.75" spans="1:7">
      <c r="A174" s="257" t="s">
        <v>208</v>
      </c>
      <c r="B174" s="74"/>
      <c r="C174" s="79">
        <f t="shared" si="3"/>
        <v>0</v>
      </c>
      <c r="D174" s="80">
        <f t="shared" si="2"/>
        <v>0</v>
      </c>
      <c r="E174" s="80"/>
      <c r="F174" s="81"/>
      <c r="G174" s="81"/>
    </row>
    <row r="175" ht="15.75" spans="1:7">
      <c r="A175" s="257" t="s">
        <v>209</v>
      </c>
      <c r="B175" s="74"/>
      <c r="C175" s="79">
        <f t="shared" si="3"/>
        <v>0</v>
      </c>
      <c r="D175" s="80">
        <f t="shared" si="2"/>
        <v>0</v>
      </c>
      <c r="E175" s="80"/>
      <c r="F175" s="81"/>
      <c r="G175" s="81"/>
    </row>
    <row r="176" ht="15.75" spans="1:7">
      <c r="A176" s="257" t="s">
        <v>210</v>
      </c>
      <c r="B176" s="74"/>
      <c r="C176" s="79">
        <f t="shared" si="3"/>
        <v>0</v>
      </c>
      <c r="D176" s="80">
        <f t="shared" si="2"/>
        <v>0</v>
      </c>
      <c r="E176" s="80"/>
      <c r="F176" s="81"/>
      <c r="G176" s="81"/>
    </row>
    <row r="177" ht="15.75" spans="1:7">
      <c r="A177" s="257" t="s">
        <v>211</v>
      </c>
      <c r="B177" s="74"/>
      <c r="C177" s="79">
        <f t="shared" si="3"/>
        <v>0</v>
      </c>
      <c r="D177" s="80">
        <f t="shared" si="2"/>
        <v>0</v>
      </c>
      <c r="E177" s="80"/>
      <c r="F177" s="81"/>
      <c r="G177" s="81"/>
    </row>
    <row r="178" ht="15.75" spans="1:7">
      <c r="A178" s="257" t="s">
        <v>212</v>
      </c>
      <c r="B178" s="74"/>
      <c r="C178" s="79">
        <f t="shared" si="3"/>
        <v>0</v>
      </c>
      <c r="D178" s="80">
        <f t="shared" si="2"/>
        <v>0</v>
      </c>
      <c r="E178" s="80"/>
      <c r="F178" s="81"/>
      <c r="G178" s="81"/>
    </row>
    <row r="179" ht="15.75" spans="1:7">
      <c r="A179" s="257" t="s">
        <v>213</v>
      </c>
      <c r="B179" s="74"/>
      <c r="C179" s="79">
        <f t="shared" si="3"/>
        <v>0</v>
      </c>
      <c r="D179" s="80">
        <f t="shared" si="2"/>
        <v>0</v>
      </c>
      <c r="E179" s="80"/>
      <c r="F179" s="81"/>
      <c r="G179" s="81"/>
    </row>
    <row r="180" ht="15.75" spans="1:7">
      <c r="A180" s="257" t="s">
        <v>214</v>
      </c>
      <c r="B180" s="74"/>
      <c r="C180" s="79">
        <f t="shared" si="3"/>
        <v>0</v>
      </c>
      <c r="D180" s="80">
        <f t="shared" si="2"/>
        <v>0</v>
      </c>
      <c r="E180" s="80"/>
      <c r="F180" s="81"/>
      <c r="G180" s="81"/>
    </row>
    <row r="181" ht="15.75" spans="1:7">
      <c r="A181" s="257" t="s">
        <v>215</v>
      </c>
      <c r="B181" s="74"/>
      <c r="C181" s="79">
        <f t="shared" si="3"/>
        <v>0</v>
      </c>
      <c r="D181" s="80">
        <f t="shared" si="2"/>
        <v>0</v>
      </c>
      <c r="E181" s="80"/>
      <c r="F181" s="81"/>
      <c r="G181" s="81"/>
    </row>
    <row r="182" ht="15.75" spans="1:7">
      <c r="A182" s="257" t="s">
        <v>216</v>
      </c>
      <c r="B182" s="74"/>
      <c r="C182" s="79">
        <f t="shared" si="3"/>
        <v>0</v>
      </c>
      <c r="D182" s="80">
        <f t="shared" si="2"/>
        <v>0</v>
      </c>
      <c r="E182" s="80"/>
      <c r="F182" s="81"/>
      <c r="G182" s="81"/>
    </row>
    <row r="183" ht="15.75" spans="1:7">
      <c r="A183" s="257" t="s">
        <v>217</v>
      </c>
      <c r="B183" s="74"/>
      <c r="C183" s="79">
        <f t="shared" si="3"/>
        <v>0</v>
      </c>
      <c r="D183" s="80">
        <f t="shared" si="2"/>
        <v>0</v>
      </c>
      <c r="E183" s="80"/>
      <c r="F183" s="81"/>
      <c r="G183" s="81"/>
    </row>
    <row r="184" ht="15.75" spans="1:7">
      <c r="A184" s="257" t="s">
        <v>218</v>
      </c>
      <c r="B184" s="74"/>
      <c r="C184" s="79">
        <f t="shared" si="3"/>
        <v>0</v>
      </c>
      <c r="D184" s="80">
        <f t="shared" si="2"/>
        <v>0</v>
      </c>
      <c r="E184" s="80"/>
      <c r="F184" s="81"/>
      <c r="G184" s="81"/>
    </row>
    <row r="185" ht="15.75" spans="1:7">
      <c r="A185" s="257" t="s">
        <v>219</v>
      </c>
      <c r="B185" s="74"/>
      <c r="C185" s="79">
        <f t="shared" si="3"/>
        <v>0</v>
      </c>
      <c r="D185" s="80">
        <f t="shared" si="2"/>
        <v>0</v>
      </c>
      <c r="E185" s="80"/>
      <c r="F185" s="81"/>
      <c r="G185" s="81"/>
    </row>
    <row r="186" ht="15.75" spans="1:7">
      <c r="A186" s="257" t="s">
        <v>220</v>
      </c>
      <c r="B186" s="74"/>
      <c r="C186" s="79">
        <f t="shared" si="3"/>
        <v>0</v>
      </c>
      <c r="D186" s="80">
        <f t="shared" si="2"/>
        <v>0</v>
      </c>
      <c r="E186" s="80"/>
      <c r="F186" s="81"/>
      <c r="G186" s="81"/>
    </row>
    <row r="187" ht="15.75" spans="1:7">
      <c r="A187" s="257" t="s">
        <v>221</v>
      </c>
      <c r="B187" s="286"/>
      <c r="C187" s="79">
        <f t="shared" si="3"/>
        <v>0</v>
      </c>
      <c r="D187" s="80">
        <f t="shared" si="2"/>
        <v>0</v>
      </c>
      <c r="E187" s="80"/>
      <c r="F187" s="81"/>
      <c r="G187" s="81"/>
    </row>
    <row r="188" ht="15.75" spans="1:7">
      <c r="A188" s="257" t="s">
        <v>221</v>
      </c>
      <c r="B188" s="257"/>
      <c r="C188" s="79">
        <f t="shared" si="3"/>
        <v>0</v>
      </c>
      <c r="D188" s="260"/>
      <c r="E188" s="72"/>
      <c r="F188" s="73"/>
      <c r="G188" s="84"/>
    </row>
    <row r="189" ht="15.75" spans="1:7">
      <c r="A189" s="257"/>
      <c r="B189" s="257"/>
      <c r="C189" s="116"/>
      <c r="D189" s="260"/>
      <c r="E189" s="261" t="e">
        <f>AVERAGE(E138:E187)</f>
        <v>#DIV/0!</v>
      </c>
      <c r="F189" s="262" t="e">
        <f>AVERAGE(F138:F187)</f>
        <v>#DIV/0!</v>
      </c>
      <c r="G189" s="262"/>
    </row>
    <row r="190" ht="48.75" spans="1:7">
      <c r="A190" s="256" t="s">
        <v>233</v>
      </c>
      <c r="B190" s="287"/>
      <c r="C190" s="116"/>
      <c r="D190" s="260"/>
      <c r="E190" s="263" t="e">
        <f>B195</f>
        <v>#DIV/0!</v>
      </c>
      <c r="F190" s="264" t="e">
        <f>B196</f>
        <v>#DIV/0!</v>
      </c>
      <c r="G190" s="265"/>
    </row>
    <row r="191" ht="48.75" spans="1:7">
      <c r="A191" s="256" t="s">
        <v>224</v>
      </c>
      <c r="B191" s="286"/>
      <c r="C191" s="116"/>
      <c r="D191" s="72"/>
      <c r="E191" s="72"/>
      <c r="F191" s="73"/>
      <c r="G191" s="73"/>
    </row>
    <row r="192" ht="84.75" spans="1:7">
      <c r="A192" s="266" t="s">
        <v>225</v>
      </c>
      <c r="B192" s="116"/>
      <c r="C192" s="116"/>
      <c r="D192" s="72"/>
      <c r="E192" s="72" t="e">
        <f>0.6*E190</f>
        <v>#DIV/0!</v>
      </c>
      <c r="F192" s="73" t="e">
        <f>0.6*F190</f>
        <v>#DIV/0!</v>
      </c>
      <c r="G192" s="73"/>
    </row>
    <row r="195" spans="1:3">
      <c r="A195" s="531" t="s">
        <v>226</v>
      </c>
      <c r="B195" s="95" t="e">
        <f>AVERAGE(B143:B182)</f>
        <v>#DIV/0!</v>
      </c>
      <c r="C195" s="95"/>
    </row>
    <row r="196" spans="1:3">
      <c r="A196" s="531" t="s">
        <v>227</v>
      </c>
      <c r="B196" s="96" t="e">
        <f>AVERAGE(B148:B177)</f>
        <v>#DIV/0!</v>
      </c>
      <c r="C196" s="96"/>
    </row>
    <row r="197" spans="1:3">
      <c r="A197" s="531" t="s">
        <v>228</v>
      </c>
      <c r="B197" s="96" t="e">
        <f>AVERAGE(B154:B172)</f>
        <v>#DIV/0!</v>
      </c>
      <c r="C197" s="96"/>
    </row>
    <row r="200" customHeight="1" spans="1:7">
      <c r="A200" s="83" t="s">
        <v>165</v>
      </c>
      <c r="B200" s="83" t="s">
        <v>234</v>
      </c>
      <c r="C200" s="83"/>
      <c r="D200" s="83"/>
      <c r="E200" s="86">
        <f>(1-E255)^(1/3)-1</f>
        <v>-0.0330674407060196</v>
      </c>
      <c r="F200" s="86">
        <f>(1-F255)^(1/3)-1</f>
        <v>-0.0412128736517074</v>
      </c>
      <c r="G200" s="86"/>
    </row>
    <row r="201" ht="72" spans="1:7">
      <c r="A201" s="83"/>
      <c r="B201" s="83" t="s">
        <v>167</v>
      </c>
      <c r="C201" s="83"/>
      <c r="D201" s="83" t="s">
        <v>168</v>
      </c>
      <c r="E201" s="83" t="s">
        <v>169</v>
      </c>
      <c r="F201" s="84" t="s">
        <v>169</v>
      </c>
      <c r="G201" s="84"/>
    </row>
    <row r="202" ht="24" spans="1:7">
      <c r="A202" s="83"/>
      <c r="B202" s="83" t="s">
        <v>235</v>
      </c>
      <c r="C202" s="83"/>
      <c r="D202" s="83" t="s">
        <v>171</v>
      </c>
      <c r="E202" s="534" t="s">
        <v>227</v>
      </c>
      <c r="F202" s="84"/>
      <c r="G202" s="267"/>
    </row>
    <row r="203" ht="15.75" spans="1:7">
      <c r="A203" s="75">
        <v>1</v>
      </c>
      <c r="B203" s="76">
        <v>2</v>
      </c>
      <c r="C203" s="76"/>
      <c r="D203" s="76">
        <v>3</v>
      </c>
      <c r="E203" s="76">
        <v>4</v>
      </c>
      <c r="F203" s="77">
        <v>5</v>
      </c>
      <c r="G203" s="77"/>
    </row>
    <row r="204" ht="15.75" spans="1:7">
      <c r="A204" s="530" t="s">
        <v>172</v>
      </c>
      <c r="B204" s="272">
        <v>0.001</v>
      </c>
      <c r="C204" s="89">
        <v>0</v>
      </c>
      <c r="D204" s="80">
        <v>0</v>
      </c>
      <c r="E204" s="80">
        <v>0</v>
      </c>
      <c r="F204" s="81">
        <v>0</v>
      </c>
      <c r="G204" s="81">
        <v>0</v>
      </c>
    </row>
    <row r="205" ht="15.75" spans="1:7">
      <c r="A205" s="530" t="s">
        <v>173</v>
      </c>
      <c r="B205" s="272">
        <v>0.001</v>
      </c>
      <c r="C205" s="79">
        <f>B204</f>
        <v>0.001</v>
      </c>
      <c r="D205" s="80">
        <v>0</v>
      </c>
      <c r="E205" s="80">
        <v>0</v>
      </c>
      <c r="F205" s="81">
        <v>0</v>
      </c>
      <c r="G205" s="81">
        <v>0</v>
      </c>
    </row>
    <row r="206" ht="15.75" spans="1:7">
      <c r="A206" s="530" t="s">
        <v>174</v>
      </c>
      <c r="B206" s="272">
        <v>0.001</v>
      </c>
      <c r="C206" s="79">
        <f t="shared" ref="C206:C254" si="4">B205</f>
        <v>0.001</v>
      </c>
      <c r="D206" s="80">
        <v>0</v>
      </c>
      <c r="E206" s="80">
        <v>0</v>
      </c>
      <c r="F206" s="81">
        <v>0</v>
      </c>
      <c r="G206" s="81">
        <v>0</v>
      </c>
    </row>
    <row r="207" ht="15.75" spans="1:7">
      <c r="A207" s="530" t="s">
        <v>175</v>
      </c>
      <c r="B207" s="272">
        <v>0.002</v>
      </c>
      <c r="C207" s="79">
        <f t="shared" si="4"/>
        <v>0.001</v>
      </c>
      <c r="D207" s="80">
        <v>0</v>
      </c>
      <c r="E207" s="80">
        <v>0</v>
      </c>
      <c r="F207" s="81">
        <v>0</v>
      </c>
      <c r="G207" s="81">
        <v>0</v>
      </c>
    </row>
    <row r="208" ht="15.75" spans="1:7">
      <c r="A208" s="530" t="s">
        <v>176</v>
      </c>
      <c r="B208" s="272">
        <v>0.002</v>
      </c>
      <c r="C208" s="79">
        <f t="shared" si="4"/>
        <v>0.002</v>
      </c>
      <c r="D208" s="80">
        <v>0</v>
      </c>
      <c r="E208" s="80">
        <v>0</v>
      </c>
      <c r="F208" s="81">
        <v>0</v>
      </c>
      <c r="G208" s="81">
        <v>0</v>
      </c>
    </row>
    <row r="209" ht="15.75" spans="1:7">
      <c r="A209" s="530" t="s">
        <v>177</v>
      </c>
      <c r="B209" s="272">
        <v>0.002</v>
      </c>
      <c r="C209" s="79">
        <f t="shared" si="4"/>
        <v>0.002</v>
      </c>
      <c r="D209" s="80">
        <v>0</v>
      </c>
      <c r="E209" s="80">
        <v>0</v>
      </c>
      <c r="F209" s="81">
        <v>0</v>
      </c>
      <c r="G209" s="81">
        <v>0</v>
      </c>
    </row>
    <row r="210" ht="15.75" spans="1:7">
      <c r="A210" s="530" t="s">
        <v>178</v>
      </c>
      <c r="B210" s="272">
        <v>0.003</v>
      </c>
      <c r="C210" s="79">
        <f t="shared" si="4"/>
        <v>0.002</v>
      </c>
      <c r="D210" s="80">
        <v>0</v>
      </c>
      <c r="E210" s="80">
        <v>0</v>
      </c>
      <c r="F210" s="81">
        <v>0</v>
      </c>
      <c r="G210" s="81">
        <v>0</v>
      </c>
    </row>
    <row r="211" ht="15.75" spans="1:7">
      <c r="A211" s="78" t="s">
        <v>179</v>
      </c>
      <c r="B211" s="272">
        <v>0.004</v>
      </c>
      <c r="C211" s="79">
        <f t="shared" si="4"/>
        <v>0.003</v>
      </c>
      <c r="D211" s="80">
        <v>0</v>
      </c>
      <c r="E211" s="80">
        <v>0</v>
      </c>
      <c r="F211" s="81">
        <v>0</v>
      </c>
      <c r="G211" s="81">
        <v>0</v>
      </c>
    </row>
    <row r="212" ht="15.75" spans="1:7">
      <c r="A212" s="78" t="s">
        <v>180</v>
      </c>
      <c r="B212" s="272">
        <v>0.006</v>
      </c>
      <c r="C212" s="79">
        <f t="shared" si="4"/>
        <v>0.004</v>
      </c>
      <c r="D212" s="80">
        <v>0</v>
      </c>
      <c r="E212" s="80">
        <v>0</v>
      </c>
      <c r="F212" s="81">
        <v>0</v>
      </c>
      <c r="G212" s="81">
        <v>0</v>
      </c>
    </row>
    <row r="213" ht="15.75" spans="1:7">
      <c r="A213" s="78" t="s">
        <v>181</v>
      </c>
      <c r="B213" s="272">
        <v>0.008</v>
      </c>
      <c r="C213" s="79">
        <f t="shared" si="4"/>
        <v>0.006</v>
      </c>
      <c r="D213" s="80">
        <v>0</v>
      </c>
      <c r="E213" s="80">
        <v>0</v>
      </c>
      <c r="F213" s="81">
        <v>0</v>
      </c>
      <c r="G213" s="81">
        <v>0</v>
      </c>
    </row>
    <row r="214" ht="15.75" spans="1:7">
      <c r="A214" s="78" t="s">
        <v>182</v>
      </c>
      <c r="B214" s="272">
        <v>0.01</v>
      </c>
      <c r="C214" s="79">
        <f t="shared" si="4"/>
        <v>0.008</v>
      </c>
      <c r="D214" s="80">
        <v>0</v>
      </c>
      <c r="E214" s="80">
        <v>0</v>
      </c>
      <c r="F214" s="81">
        <v>0</v>
      </c>
      <c r="G214" s="81">
        <v>0</v>
      </c>
    </row>
    <row r="215" ht="15.75" spans="1:7">
      <c r="A215" s="78" t="s">
        <v>183</v>
      </c>
      <c r="B215" s="272">
        <v>0.014</v>
      </c>
      <c r="C215" s="79">
        <f t="shared" si="4"/>
        <v>0.01</v>
      </c>
      <c r="D215" s="80">
        <v>0</v>
      </c>
      <c r="E215" s="80">
        <v>0</v>
      </c>
      <c r="F215" s="81">
        <v>0</v>
      </c>
      <c r="G215" s="81">
        <v>0</v>
      </c>
    </row>
    <row r="216" ht="15.75" spans="1:7">
      <c r="A216" s="78" t="s">
        <v>184</v>
      </c>
      <c r="B216" s="74">
        <v>0.028</v>
      </c>
      <c r="C216" s="79">
        <f t="shared" si="4"/>
        <v>0.014</v>
      </c>
      <c r="D216" s="80">
        <v>0</v>
      </c>
      <c r="E216" s="80">
        <v>0</v>
      </c>
      <c r="F216" s="81">
        <v>0</v>
      </c>
      <c r="G216" s="81">
        <v>0</v>
      </c>
    </row>
    <row r="217" ht="15.75" spans="1:7">
      <c r="A217" s="78" t="s">
        <v>185</v>
      </c>
      <c r="B217" s="74">
        <v>0.066</v>
      </c>
      <c r="C217" s="79">
        <f t="shared" si="4"/>
        <v>0.028</v>
      </c>
      <c r="D217" s="80">
        <v>0</v>
      </c>
      <c r="E217" s="80">
        <v>0</v>
      </c>
      <c r="F217" s="81">
        <v>0</v>
      </c>
      <c r="G217" s="81">
        <v>0</v>
      </c>
    </row>
    <row r="218" ht="15.75" spans="1:7">
      <c r="A218" s="78" t="s">
        <v>186</v>
      </c>
      <c r="B218" s="74">
        <v>0.089</v>
      </c>
      <c r="C218" s="79">
        <f t="shared" si="4"/>
        <v>0.066</v>
      </c>
      <c r="D218" s="80">
        <v>0</v>
      </c>
      <c r="E218" s="80">
        <v>0</v>
      </c>
      <c r="F218" s="81">
        <v>0</v>
      </c>
      <c r="G218" s="81">
        <v>0</v>
      </c>
    </row>
    <row r="219" ht="15.75" spans="1:7">
      <c r="A219" s="78" t="s">
        <v>187</v>
      </c>
      <c r="B219" s="74">
        <v>0.149</v>
      </c>
      <c r="C219" s="79">
        <f t="shared" si="4"/>
        <v>0.089</v>
      </c>
      <c r="D219" s="80">
        <v>0</v>
      </c>
      <c r="E219" s="80">
        <v>0</v>
      </c>
      <c r="F219" s="81">
        <v>0</v>
      </c>
      <c r="G219" s="81">
        <v>0</v>
      </c>
    </row>
    <row r="220" ht="15.75" spans="1:7">
      <c r="A220" s="78" t="s">
        <v>188</v>
      </c>
      <c r="B220" s="74">
        <v>0.222</v>
      </c>
      <c r="C220" s="79">
        <f t="shared" si="4"/>
        <v>0.149</v>
      </c>
      <c r="D220" s="80">
        <v>0</v>
      </c>
      <c r="E220" s="80">
        <v>0</v>
      </c>
      <c r="F220" s="81">
        <v>0</v>
      </c>
      <c r="G220" s="81">
        <v>0</v>
      </c>
    </row>
    <row r="221" ht="15.75" spans="1:7">
      <c r="A221" s="78" t="s">
        <v>189</v>
      </c>
      <c r="B221" s="74">
        <v>0.295</v>
      </c>
      <c r="C221" s="79">
        <f t="shared" si="4"/>
        <v>0.222</v>
      </c>
      <c r="D221" s="80">
        <v>0</v>
      </c>
      <c r="E221" s="80">
        <v>0</v>
      </c>
      <c r="F221" s="81">
        <v>0</v>
      </c>
      <c r="G221" s="81">
        <v>0</v>
      </c>
    </row>
    <row r="222" ht="15.75" spans="1:7">
      <c r="A222" s="78" t="s">
        <v>190</v>
      </c>
      <c r="B222" s="74">
        <v>0.636</v>
      </c>
      <c r="C222" s="79">
        <f t="shared" si="4"/>
        <v>0.295</v>
      </c>
      <c r="D222" s="80">
        <v>0</v>
      </c>
      <c r="E222" s="80">
        <v>0</v>
      </c>
      <c r="F222" s="81">
        <v>0</v>
      </c>
      <c r="G222" s="81">
        <v>0</v>
      </c>
    </row>
    <row r="223" ht="15.75" spans="1:7">
      <c r="A223" s="78" t="s">
        <v>191</v>
      </c>
      <c r="B223" s="74">
        <v>0.794</v>
      </c>
      <c r="C223" s="79">
        <f t="shared" si="4"/>
        <v>0.636</v>
      </c>
      <c r="D223" s="80">
        <v>0</v>
      </c>
      <c r="E223" s="80">
        <v>0</v>
      </c>
      <c r="F223" s="81">
        <v>0</v>
      </c>
      <c r="G223" s="81">
        <v>0</v>
      </c>
    </row>
    <row r="224" ht="15.75" spans="1:7">
      <c r="A224" s="78" t="s">
        <v>192</v>
      </c>
      <c r="B224" s="74">
        <v>0.91</v>
      </c>
      <c r="C224" s="79">
        <f t="shared" si="4"/>
        <v>0.794</v>
      </c>
      <c r="D224" s="80">
        <v>0</v>
      </c>
      <c r="E224" s="80">
        <v>0</v>
      </c>
      <c r="F224" s="81">
        <v>0</v>
      </c>
      <c r="G224" s="81">
        <v>0</v>
      </c>
    </row>
    <row r="225" ht="15.75" spans="1:7">
      <c r="A225" s="78" t="s">
        <v>193</v>
      </c>
      <c r="B225" s="74">
        <v>1.104</v>
      </c>
      <c r="C225" s="79">
        <f t="shared" si="4"/>
        <v>0.91</v>
      </c>
      <c r="D225" s="80">
        <v>0</v>
      </c>
      <c r="E225" s="80">
        <v>0</v>
      </c>
      <c r="F225" s="81">
        <v>0</v>
      </c>
      <c r="G225" s="81">
        <v>0</v>
      </c>
    </row>
    <row r="226" ht="15.75" spans="1:7">
      <c r="A226" s="78" t="s">
        <v>194</v>
      </c>
      <c r="B226" s="74">
        <v>1.409</v>
      </c>
      <c r="C226" s="79">
        <f t="shared" si="4"/>
        <v>1.104</v>
      </c>
      <c r="D226" s="80">
        <v>0</v>
      </c>
      <c r="E226" s="80">
        <v>0</v>
      </c>
      <c r="F226" s="81">
        <v>0</v>
      </c>
      <c r="G226" s="81">
        <v>0</v>
      </c>
    </row>
    <row r="227" ht="15.75" spans="1:7">
      <c r="A227" s="78" t="s">
        <v>195</v>
      </c>
      <c r="B227" s="74">
        <v>1.797</v>
      </c>
      <c r="C227" s="79">
        <f t="shared" si="4"/>
        <v>1.409</v>
      </c>
      <c r="D227" s="80">
        <v>0</v>
      </c>
      <c r="E227" s="80">
        <v>0</v>
      </c>
      <c r="F227" s="81">
        <v>0</v>
      </c>
      <c r="G227" s="81">
        <v>0</v>
      </c>
    </row>
    <row r="228" ht="15.75" spans="1:7">
      <c r="A228" s="78" t="s">
        <v>196</v>
      </c>
      <c r="B228" s="74">
        <v>2.097</v>
      </c>
      <c r="C228" s="79">
        <f t="shared" si="4"/>
        <v>1.797</v>
      </c>
      <c r="D228" s="80">
        <v>0</v>
      </c>
      <c r="E228" s="80">
        <v>0</v>
      </c>
      <c r="F228" s="81">
        <v>0</v>
      </c>
      <c r="G228" s="81">
        <v>0</v>
      </c>
    </row>
    <row r="229" ht="15.75" spans="1:7">
      <c r="A229" s="78" t="s">
        <v>197</v>
      </c>
      <c r="B229" s="74">
        <v>2.389</v>
      </c>
      <c r="C229" s="79">
        <f t="shared" si="4"/>
        <v>2.097</v>
      </c>
      <c r="D229" s="80">
        <v>0</v>
      </c>
      <c r="E229" s="80">
        <v>0</v>
      </c>
      <c r="F229" s="81">
        <v>0</v>
      </c>
      <c r="G229" s="81">
        <v>0</v>
      </c>
    </row>
    <row r="230" ht="15.75" spans="1:7">
      <c r="A230" s="78" t="s">
        <v>198</v>
      </c>
      <c r="B230" s="74">
        <v>3.026</v>
      </c>
      <c r="C230" s="79">
        <f t="shared" si="4"/>
        <v>2.389</v>
      </c>
      <c r="D230" s="80">
        <v>0</v>
      </c>
      <c r="E230" s="80">
        <v>0</v>
      </c>
      <c r="F230" s="81">
        <v>0.0037547918043622</v>
      </c>
      <c r="G230" s="81">
        <v>0</v>
      </c>
    </row>
    <row r="231" ht="15.75" spans="1:7">
      <c r="A231" s="78" t="s">
        <v>199</v>
      </c>
      <c r="B231" s="74">
        <v>3.823</v>
      </c>
      <c r="C231" s="79">
        <f t="shared" si="4"/>
        <v>3.026</v>
      </c>
      <c r="D231" s="80">
        <v>0</v>
      </c>
      <c r="E231" s="80">
        <v>0</v>
      </c>
      <c r="F231" s="81">
        <v>0.023819513471096</v>
      </c>
      <c r="G231" s="81">
        <v>0</v>
      </c>
    </row>
    <row r="232" ht="15.75" spans="1:7">
      <c r="A232" s="78" t="s">
        <v>200</v>
      </c>
      <c r="B232" s="74">
        <v>4.392</v>
      </c>
      <c r="C232" s="79">
        <f t="shared" si="4"/>
        <v>3.823</v>
      </c>
      <c r="D232" s="80">
        <v>0</v>
      </c>
      <c r="E232" s="80">
        <v>0</v>
      </c>
      <c r="F232" s="81">
        <v>0.0336889799635701</v>
      </c>
      <c r="G232" s="81">
        <v>0.00163934426229508</v>
      </c>
    </row>
    <row r="233" ht="15.75" spans="1:7">
      <c r="A233" s="78" t="s">
        <v>201</v>
      </c>
      <c r="B233" s="74">
        <v>5.146</v>
      </c>
      <c r="C233" s="79">
        <f t="shared" si="4"/>
        <v>4.392</v>
      </c>
      <c r="D233" s="80">
        <v>0.122295958025651</v>
      </c>
      <c r="E233" s="80">
        <v>0.0122295958025651</v>
      </c>
      <c r="F233" s="81">
        <v>0.0604298484259619</v>
      </c>
      <c r="G233" s="81">
        <v>0.016051301982122</v>
      </c>
    </row>
    <row r="234" ht="15.75" spans="1:7">
      <c r="A234" s="78" t="s">
        <v>202</v>
      </c>
      <c r="B234" s="74">
        <v>5.775</v>
      </c>
      <c r="C234" s="79">
        <f t="shared" si="4"/>
        <v>5.146</v>
      </c>
      <c r="D234" s="80">
        <v>0.217893506493506</v>
      </c>
      <c r="E234" s="80">
        <v>0.0217893506493506</v>
      </c>
      <c r="F234" s="81">
        <v>0.097415064935065</v>
      </c>
      <c r="G234" s="81">
        <v>0.0251948051948052</v>
      </c>
    </row>
    <row r="235" ht="15.75" spans="1:7">
      <c r="A235" s="78" t="s">
        <v>203</v>
      </c>
      <c r="B235" s="74">
        <v>6</v>
      </c>
      <c r="C235" s="79">
        <f t="shared" si="4"/>
        <v>5.775</v>
      </c>
      <c r="D235" s="80">
        <v>0.2472225</v>
      </c>
      <c r="E235" s="80">
        <v>0.02472225</v>
      </c>
      <c r="F235" s="81">
        <v>0.108762</v>
      </c>
      <c r="G235" s="81">
        <v>0.028</v>
      </c>
    </row>
    <row r="236" ht="15.75" spans="1:7">
      <c r="A236" s="78" t="s">
        <v>204</v>
      </c>
      <c r="B236" s="74">
        <v>7.142</v>
      </c>
      <c r="C236" s="79">
        <f t="shared" si="4"/>
        <v>6</v>
      </c>
      <c r="D236" s="80">
        <v>0.367591010921311</v>
      </c>
      <c r="E236" s="80">
        <v>0.036759101092131</v>
      </c>
      <c r="F236" s="81">
        <v>0.155330719686362</v>
      </c>
      <c r="G236" s="81">
        <v>0.0395127415289835</v>
      </c>
    </row>
    <row r="237" ht="15.75" spans="1:7">
      <c r="A237" s="78" t="s">
        <v>205</v>
      </c>
      <c r="B237" s="74">
        <v>8.125</v>
      </c>
      <c r="C237" s="79">
        <f t="shared" si="4"/>
        <v>7.142</v>
      </c>
      <c r="D237" s="80">
        <v>0.444102769230769</v>
      </c>
      <c r="E237" s="80">
        <v>0.0664616615384615</v>
      </c>
      <c r="F237" s="81">
        <v>0.184931938461538</v>
      </c>
      <c r="G237" s="81">
        <v>0.0809846153846154</v>
      </c>
    </row>
    <row r="238" ht="15.75" spans="1:7">
      <c r="A238" s="78" t="s">
        <v>206</v>
      </c>
      <c r="B238" s="74">
        <v>9.52</v>
      </c>
      <c r="C238" s="79">
        <f t="shared" si="4"/>
        <v>8.125</v>
      </c>
      <c r="D238" s="80">
        <v>0.525560399159664</v>
      </c>
      <c r="E238" s="80">
        <v>0.115336239495798</v>
      </c>
      <c r="F238" s="81">
        <v>0.216446638655462</v>
      </c>
      <c r="G238" s="81">
        <v>0.127731092436975</v>
      </c>
    </row>
    <row r="239" ht="15.75" spans="1:7">
      <c r="A239" s="78" t="s">
        <v>207</v>
      </c>
      <c r="B239" s="74">
        <v>11.875</v>
      </c>
      <c r="C239" s="79">
        <f t="shared" si="4"/>
        <v>9.52</v>
      </c>
      <c r="D239" s="80">
        <v>0.619649263157895</v>
      </c>
      <c r="E239" s="80">
        <v>0.171789557894737</v>
      </c>
      <c r="F239" s="81">
        <v>0.252848168421053</v>
      </c>
      <c r="G239" s="81">
        <v>0.181726315789474</v>
      </c>
    </row>
    <row r="240" ht="15.75" spans="1:7">
      <c r="A240" s="78" t="s">
        <v>208</v>
      </c>
      <c r="B240" s="74">
        <v>13.934</v>
      </c>
      <c r="C240" s="79">
        <f t="shared" si="4"/>
        <v>11.875</v>
      </c>
      <c r="D240" s="80">
        <v>0.675852949619635</v>
      </c>
      <c r="E240" s="80">
        <v>0.205511769771781</v>
      </c>
      <c r="F240" s="81">
        <v>0.274592507535525</v>
      </c>
      <c r="G240" s="81">
        <v>0.213980192335295</v>
      </c>
    </row>
    <row r="241" ht="15.75" spans="1:7">
      <c r="A241" s="78" t="s">
        <v>209</v>
      </c>
      <c r="B241" s="74">
        <v>15.337</v>
      </c>
      <c r="C241" s="79">
        <f t="shared" si="4"/>
        <v>13.934</v>
      </c>
      <c r="D241" s="80">
        <v>0.705505313946665</v>
      </c>
      <c r="E241" s="80">
        <v>0.223303188367999</v>
      </c>
      <c r="F241" s="81">
        <v>0.286064549781574</v>
      </c>
      <c r="G241" s="81">
        <v>0.23099693551542</v>
      </c>
    </row>
    <row r="242" ht="15.75" spans="1:7">
      <c r="A242" s="78" t="s">
        <v>210</v>
      </c>
      <c r="B242" s="74">
        <v>18.911</v>
      </c>
      <c r="C242" s="79">
        <f t="shared" si="4"/>
        <v>15.337</v>
      </c>
      <c r="D242" s="80">
        <v>0.761162022103538</v>
      </c>
      <c r="E242" s="80">
        <v>0.256697213262123</v>
      </c>
      <c r="F242" s="81">
        <v>0.307597271429327</v>
      </c>
      <c r="G242" s="81">
        <v>0.262936915023003</v>
      </c>
    </row>
    <row r="243" ht="15.75" spans="1:7">
      <c r="A243" s="78" t="s">
        <v>211</v>
      </c>
      <c r="B243" s="74">
        <v>20.604</v>
      </c>
      <c r="C243" s="79">
        <f t="shared" si="4"/>
        <v>18.911</v>
      </c>
      <c r="D243" s="80">
        <v>0.780786983110076</v>
      </c>
      <c r="E243" s="80">
        <v>0.268472189866045</v>
      </c>
      <c r="F243" s="81">
        <v>0.315189866045428</v>
      </c>
      <c r="G243" s="81">
        <v>0.274199184624345</v>
      </c>
    </row>
    <row r="244" ht="15.75" spans="1:7">
      <c r="A244" s="78" t="s">
        <v>212</v>
      </c>
      <c r="B244" s="74">
        <v>23.614</v>
      </c>
      <c r="C244" s="79">
        <f t="shared" si="4"/>
        <v>20.604</v>
      </c>
      <c r="D244" s="80">
        <v>0.808729355467096</v>
      </c>
      <c r="E244" s="80">
        <v>0.285237613280257</v>
      </c>
      <c r="F244" s="81">
        <v>0.326000338782078</v>
      </c>
      <c r="G244" s="81">
        <v>0.290234606589311</v>
      </c>
    </row>
    <row r="245" ht="15.75" spans="1:7">
      <c r="A245" s="78" t="s">
        <v>213</v>
      </c>
      <c r="B245" s="74">
        <v>27.153</v>
      </c>
      <c r="C245" s="79">
        <f t="shared" si="4"/>
        <v>23.614</v>
      </c>
      <c r="D245" s="80">
        <v>0.833658711744559</v>
      </c>
      <c r="E245" s="80">
        <v>0.300195227046735</v>
      </c>
      <c r="F245" s="81">
        <v>0.335645122085957</v>
      </c>
      <c r="G245" s="81">
        <v>0.304540934703348</v>
      </c>
    </row>
    <row r="246" ht="15.75" spans="1:7">
      <c r="A246" s="78" t="s">
        <v>214</v>
      </c>
      <c r="B246" s="74">
        <v>30.365</v>
      </c>
      <c r="C246" s="79">
        <f t="shared" si="4"/>
        <v>27.153</v>
      </c>
      <c r="D246" s="80">
        <v>0.851254240079038</v>
      </c>
      <c r="E246" s="80">
        <v>0.310752544047423</v>
      </c>
      <c r="F246" s="81">
        <v>0.342452560513749</v>
      </c>
      <c r="G246" s="81">
        <v>0.314638564136341</v>
      </c>
    </row>
    <row r="247" ht="15.75" spans="1:7">
      <c r="A247" s="78" t="s">
        <v>215</v>
      </c>
      <c r="B247" s="74">
        <v>36.148</v>
      </c>
      <c r="C247" s="79">
        <f t="shared" si="4"/>
        <v>30.365</v>
      </c>
      <c r="D247" s="80">
        <v>0.875050763527719</v>
      </c>
      <c r="E247" s="80">
        <v>0.325030458116632</v>
      </c>
      <c r="F247" s="81">
        <v>0.35165906827487</v>
      </c>
      <c r="G247" s="81">
        <v>0.328294788093394</v>
      </c>
    </row>
    <row r="248" ht="15.75" spans="1:7">
      <c r="A248" s="78" t="s">
        <v>216</v>
      </c>
      <c r="B248" s="74">
        <v>38.189</v>
      </c>
      <c r="C248" s="79">
        <f t="shared" si="4"/>
        <v>36.148</v>
      </c>
      <c r="D248" s="80">
        <v>0.881728639136924</v>
      </c>
      <c r="E248" s="80">
        <v>0.329037183482155</v>
      </c>
      <c r="F248" s="81">
        <v>0.354242635313834</v>
      </c>
      <c r="G248" s="81">
        <v>0.332127052292545</v>
      </c>
    </row>
    <row r="249" ht="15.75" spans="1:7">
      <c r="A249" s="78" t="s">
        <v>217</v>
      </c>
      <c r="B249" s="74">
        <v>52.822</v>
      </c>
      <c r="C249" s="79">
        <f t="shared" si="4"/>
        <v>38.189</v>
      </c>
      <c r="D249" s="80">
        <v>0.914492730301768</v>
      </c>
      <c r="E249" s="80">
        <v>0.348695638181061</v>
      </c>
      <c r="F249" s="81">
        <v>0.366918556661997</v>
      </c>
      <c r="G249" s="81">
        <v>0.350929536935368</v>
      </c>
    </row>
    <row r="250" ht="15.75" spans="1:7">
      <c r="A250" s="78" t="s">
        <v>218</v>
      </c>
      <c r="B250" s="74">
        <v>66.237</v>
      </c>
      <c r="C250" s="79">
        <f t="shared" si="4"/>
        <v>52.822</v>
      </c>
      <c r="D250" s="80">
        <v>0.931810543955795</v>
      </c>
      <c r="E250" s="80">
        <v>0.359086326373477</v>
      </c>
      <c r="F250" s="81">
        <v>0.373618551564835</v>
      </c>
      <c r="G250" s="81">
        <v>0.360867792925404</v>
      </c>
    </row>
    <row r="251" ht="15.75" spans="1:7">
      <c r="A251" s="78" t="s">
        <v>219</v>
      </c>
      <c r="B251" s="74">
        <v>91.886</v>
      </c>
      <c r="C251" s="79">
        <f t="shared" si="4"/>
        <v>66.237</v>
      </c>
      <c r="D251" s="80">
        <v>0.95084490564395</v>
      </c>
      <c r="E251" s="80">
        <v>0.37050694338637</v>
      </c>
      <c r="F251" s="81">
        <v>0.380982652417126</v>
      </c>
      <c r="G251" s="81">
        <v>0.37179113249026</v>
      </c>
    </row>
    <row r="252" ht="15.75" spans="1:7">
      <c r="A252" s="78" t="s">
        <v>220</v>
      </c>
      <c r="B252" s="74">
        <v>129.083</v>
      </c>
      <c r="C252" s="79">
        <f t="shared" si="4"/>
        <v>91.886</v>
      </c>
      <c r="D252" s="80">
        <v>0.965009606222353</v>
      </c>
      <c r="E252" s="80">
        <v>0.379005763733412</v>
      </c>
      <c r="F252" s="81">
        <v>0.386462756520998</v>
      </c>
      <c r="G252" s="81">
        <v>0.379919896500701</v>
      </c>
    </row>
    <row r="253" ht="15.75" spans="1:7">
      <c r="A253" s="78" t="s">
        <v>221</v>
      </c>
      <c r="B253" s="74">
        <v>213.148</v>
      </c>
      <c r="C253" s="79">
        <f t="shared" si="4"/>
        <v>129.083</v>
      </c>
      <c r="D253" s="80">
        <v>0.978809723760017</v>
      </c>
      <c r="E253" s="80">
        <v>0.38728583425601</v>
      </c>
      <c r="F253" s="81">
        <v>0.391801809071631</v>
      </c>
      <c r="G253" s="81">
        <v>0.387839435509599</v>
      </c>
    </row>
    <row r="254" ht="15.75" spans="1:7">
      <c r="A254" s="78" t="s">
        <v>221</v>
      </c>
      <c r="B254" s="74" t="s">
        <v>389</v>
      </c>
      <c r="C254" s="79">
        <f t="shared" si="4"/>
        <v>213.148</v>
      </c>
      <c r="D254" s="117"/>
      <c r="E254" s="83"/>
      <c r="F254" s="84"/>
      <c r="G254" s="84"/>
    </row>
    <row r="255" spans="1:7">
      <c r="A255" s="78"/>
      <c r="B255" s="78"/>
      <c r="C255" s="78"/>
      <c r="D255" s="117"/>
      <c r="E255" s="85">
        <v>0.0959581129928905</v>
      </c>
      <c r="F255" s="86">
        <v>0.118613118196468</v>
      </c>
      <c r="G255" s="86">
        <v>0.0980827436850721</v>
      </c>
    </row>
    <row r="256" ht="48.75" spans="1:7">
      <c r="A256" s="87" t="s">
        <v>233</v>
      </c>
      <c r="B256" s="257">
        <v>7.2</v>
      </c>
      <c r="C256" s="78"/>
      <c r="D256" s="117"/>
      <c r="E256" s="127">
        <v>7.527775</v>
      </c>
      <c r="F256" s="128">
        <v>4.85396666666667</v>
      </c>
      <c r="G256" s="129">
        <v>7.2</v>
      </c>
    </row>
    <row r="257" ht="48.75" spans="1:7">
      <c r="A257" s="87" t="s">
        <v>224</v>
      </c>
      <c r="B257" s="116">
        <v>29.55</v>
      </c>
      <c r="C257" s="78"/>
      <c r="D257" s="83"/>
      <c r="E257" s="83"/>
      <c r="F257" s="84"/>
      <c r="G257" s="84"/>
    </row>
    <row r="258" ht="84.75" spans="1:7">
      <c r="A258" s="106" t="s">
        <v>225</v>
      </c>
      <c r="B258" s="116">
        <v>4.32</v>
      </c>
      <c r="C258" s="78"/>
      <c r="D258" s="83"/>
      <c r="E258" s="83">
        <v>4.516665</v>
      </c>
      <c r="F258" s="84">
        <v>2.91238</v>
      </c>
      <c r="G258" s="84">
        <v>4.32</v>
      </c>
    </row>
    <row r="261" spans="1:3">
      <c r="A261" s="531" t="s">
        <v>226</v>
      </c>
      <c r="B261" s="95">
        <f>AVERAGE(B209:B248)</f>
        <v>7.527775</v>
      </c>
      <c r="C261" s="95"/>
    </row>
    <row r="262" spans="1:3">
      <c r="A262" s="531" t="s">
        <v>227</v>
      </c>
      <c r="B262" s="96">
        <f>AVERAGE(B214:B243)</f>
        <v>4.85396666666667</v>
      </c>
      <c r="C262" s="96"/>
    </row>
    <row r="263" spans="1:3">
      <c r="A263" s="531" t="s">
        <v>228</v>
      </c>
      <c r="B263" s="96">
        <f>AVERAGE(B220:B238)</f>
        <v>3.40010526315789</v>
      </c>
      <c r="C263" s="96"/>
    </row>
    <row r="265" ht="15.75"/>
    <row r="266" customHeight="1" spans="1:7">
      <c r="A266" s="252" t="s">
        <v>165</v>
      </c>
      <c r="B266" s="268" t="s">
        <v>363</v>
      </c>
      <c r="C266" s="269"/>
      <c r="D266" s="270"/>
      <c r="E266" s="70">
        <f>(1-E321)^(1/3)-1</f>
        <v>0</v>
      </c>
      <c r="F266" s="70">
        <f>(1-F321)^(1/3)-1</f>
        <v>0</v>
      </c>
      <c r="G266" s="70"/>
    </row>
    <row r="267" ht="72.75" spans="1:7">
      <c r="A267" s="253"/>
      <c r="B267" s="83" t="s">
        <v>167</v>
      </c>
      <c r="C267" s="130"/>
      <c r="D267" s="83" t="s">
        <v>168</v>
      </c>
      <c r="E267" s="83" t="s">
        <v>169</v>
      </c>
      <c r="F267" s="84" t="s">
        <v>169</v>
      </c>
      <c r="G267" s="84"/>
    </row>
    <row r="268" ht="24.75" spans="1:7">
      <c r="A268" s="254"/>
      <c r="B268" s="257" t="s">
        <v>364</v>
      </c>
      <c r="D268" s="271" t="s">
        <v>171</v>
      </c>
      <c r="E268" s="271" t="s">
        <v>171</v>
      </c>
      <c r="F268" s="271" t="s">
        <v>171</v>
      </c>
      <c r="G268" s="271"/>
    </row>
    <row r="269" ht="15.75" spans="1:7">
      <c r="A269" s="75">
        <v>1</v>
      </c>
      <c r="B269" s="76">
        <v>2</v>
      </c>
      <c r="D269" s="76">
        <v>3</v>
      </c>
      <c r="E269" s="76">
        <v>4</v>
      </c>
      <c r="F269" s="77">
        <v>5</v>
      </c>
      <c r="G269" s="77"/>
    </row>
    <row r="270" ht="15.75" spans="1:7">
      <c r="A270" s="533" t="s">
        <v>172</v>
      </c>
      <c r="B270" s="272"/>
      <c r="C270">
        <v>0</v>
      </c>
      <c r="D270" s="80">
        <f t="shared" ref="D270:D319" si="5">IF(B270=0,0,IF(B270&lt;=E$324,0,B270-E$324)/B270)</f>
        <v>0</v>
      </c>
      <c r="E270" s="80"/>
      <c r="F270" s="81"/>
      <c r="G270" s="81"/>
    </row>
    <row r="271" ht="15.75" spans="1:7">
      <c r="A271" s="533" t="s">
        <v>173</v>
      </c>
      <c r="B271" s="74"/>
      <c r="C271" s="79">
        <f>B270</f>
        <v>0</v>
      </c>
      <c r="D271" s="80">
        <f t="shared" si="5"/>
        <v>0</v>
      </c>
      <c r="E271" s="80"/>
      <c r="F271" s="81"/>
      <c r="G271" s="81"/>
    </row>
    <row r="272" ht="15.75" spans="1:7">
      <c r="A272" s="533" t="s">
        <v>174</v>
      </c>
      <c r="B272" s="74"/>
      <c r="C272" s="79">
        <f t="shared" ref="C272:C320" si="6">B271</f>
        <v>0</v>
      </c>
      <c r="D272" s="80">
        <f t="shared" si="5"/>
        <v>0</v>
      </c>
      <c r="E272" s="80"/>
      <c r="F272" s="81"/>
      <c r="G272" s="81"/>
    </row>
    <row r="273" ht="15.75" spans="1:7">
      <c r="A273" s="533" t="s">
        <v>175</v>
      </c>
      <c r="B273" s="74"/>
      <c r="C273" s="79">
        <f t="shared" si="6"/>
        <v>0</v>
      </c>
      <c r="D273" s="80">
        <f t="shared" si="5"/>
        <v>0</v>
      </c>
      <c r="E273" s="80"/>
      <c r="F273" s="81"/>
      <c r="G273" s="81"/>
    </row>
    <row r="274" ht="15.75" spans="1:7">
      <c r="A274" s="533" t="s">
        <v>176</v>
      </c>
      <c r="B274" s="74"/>
      <c r="C274" s="79">
        <f t="shared" si="6"/>
        <v>0</v>
      </c>
      <c r="D274" s="80">
        <f t="shared" si="5"/>
        <v>0</v>
      </c>
      <c r="E274" s="80"/>
      <c r="F274" s="81"/>
      <c r="G274" s="81"/>
    </row>
    <row r="275" ht="15.75" spans="1:7">
      <c r="A275" s="533" t="s">
        <v>177</v>
      </c>
      <c r="B275" s="74"/>
      <c r="C275" s="79">
        <f t="shared" si="6"/>
        <v>0</v>
      </c>
      <c r="D275" s="80">
        <f t="shared" si="5"/>
        <v>0</v>
      </c>
      <c r="E275" s="80"/>
      <c r="F275" s="81"/>
      <c r="G275" s="81"/>
    </row>
    <row r="276" ht="15.75" spans="1:7">
      <c r="A276" s="533" t="s">
        <v>178</v>
      </c>
      <c r="B276" s="74"/>
      <c r="C276" s="79">
        <f t="shared" si="6"/>
        <v>0</v>
      </c>
      <c r="D276" s="80">
        <f t="shared" si="5"/>
        <v>0</v>
      </c>
      <c r="E276" s="80"/>
      <c r="F276" s="81"/>
      <c r="G276" s="81"/>
    </row>
    <row r="277" ht="15.75" spans="1:7">
      <c r="A277" s="257" t="s">
        <v>179</v>
      </c>
      <c r="B277" s="74"/>
      <c r="C277" s="79">
        <f t="shared" si="6"/>
        <v>0</v>
      </c>
      <c r="D277" s="80">
        <f t="shared" si="5"/>
        <v>0</v>
      </c>
      <c r="E277" s="80"/>
      <c r="F277" s="81"/>
      <c r="G277" s="81"/>
    </row>
    <row r="278" ht="15.75" spans="1:7">
      <c r="A278" s="257" t="s">
        <v>180</v>
      </c>
      <c r="B278" s="74"/>
      <c r="C278" s="79">
        <f t="shared" si="6"/>
        <v>0</v>
      </c>
      <c r="D278" s="80">
        <f t="shared" si="5"/>
        <v>0</v>
      </c>
      <c r="E278" s="80"/>
      <c r="F278" s="81"/>
      <c r="G278" s="81"/>
    </row>
    <row r="279" ht="15.75" spans="1:7">
      <c r="A279" s="257" t="s">
        <v>181</v>
      </c>
      <c r="B279" s="74"/>
      <c r="C279" s="79">
        <f t="shared" si="6"/>
        <v>0</v>
      </c>
      <c r="D279" s="80">
        <f t="shared" si="5"/>
        <v>0</v>
      </c>
      <c r="E279" s="80"/>
      <c r="F279" s="81"/>
      <c r="G279" s="81"/>
    </row>
    <row r="280" ht="15.75" spans="1:7">
      <c r="A280" s="257" t="s">
        <v>182</v>
      </c>
      <c r="B280" s="74"/>
      <c r="C280" s="79">
        <f t="shared" si="6"/>
        <v>0</v>
      </c>
      <c r="D280" s="80">
        <f t="shared" si="5"/>
        <v>0</v>
      </c>
      <c r="E280" s="80"/>
      <c r="F280" s="81"/>
      <c r="G280" s="81"/>
    </row>
    <row r="281" ht="15.75" spans="1:7">
      <c r="A281" s="257" t="s">
        <v>183</v>
      </c>
      <c r="B281" s="74"/>
      <c r="C281" s="79">
        <f t="shared" si="6"/>
        <v>0</v>
      </c>
      <c r="D281" s="80">
        <f t="shared" si="5"/>
        <v>0</v>
      </c>
      <c r="E281" s="80"/>
      <c r="F281" s="81"/>
      <c r="G281" s="81"/>
    </row>
    <row r="282" ht="15.75" spans="1:7">
      <c r="A282" s="257" t="s">
        <v>184</v>
      </c>
      <c r="B282" s="74"/>
      <c r="C282" s="79">
        <f t="shared" si="6"/>
        <v>0</v>
      </c>
      <c r="D282" s="80">
        <f t="shared" si="5"/>
        <v>0</v>
      </c>
      <c r="E282" s="80"/>
      <c r="F282" s="81"/>
      <c r="G282" s="81"/>
    </row>
    <row r="283" ht="15.75" spans="1:7">
      <c r="A283" s="257" t="s">
        <v>185</v>
      </c>
      <c r="B283" s="74"/>
      <c r="C283" s="79">
        <f t="shared" si="6"/>
        <v>0</v>
      </c>
      <c r="D283" s="80">
        <f t="shared" si="5"/>
        <v>0</v>
      </c>
      <c r="E283" s="80"/>
      <c r="F283" s="81"/>
      <c r="G283" s="81"/>
    </row>
    <row r="284" ht="15.75" spans="1:7">
      <c r="A284" s="257" t="s">
        <v>186</v>
      </c>
      <c r="B284" s="74"/>
      <c r="C284" s="79">
        <f t="shared" si="6"/>
        <v>0</v>
      </c>
      <c r="D284" s="80">
        <f t="shared" si="5"/>
        <v>0</v>
      </c>
      <c r="E284" s="80"/>
      <c r="F284" s="81"/>
      <c r="G284" s="81"/>
    </row>
    <row r="285" ht="15.75" spans="1:7">
      <c r="A285" s="257" t="s">
        <v>187</v>
      </c>
      <c r="B285" s="74"/>
      <c r="C285" s="79">
        <f t="shared" si="6"/>
        <v>0</v>
      </c>
      <c r="D285" s="80">
        <f t="shared" si="5"/>
        <v>0</v>
      </c>
      <c r="E285" s="80"/>
      <c r="F285" s="81"/>
      <c r="G285" s="81"/>
    </row>
    <row r="286" ht="15.75" spans="1:7">
      <c r="A286" s="257" t="s">
        <v>188</v>
      </c>
      <c r="B286" s="74"/>
      <c r="C286" s="79">
        <f t="shared" si="6"/>
        <v>0</v>
      </c>
      <c r="D286" s="80">
        <f t="shared" si="5"/>
        <v>0</v>
      </c>
      <c r="E286" s="80"/>
      <c r="F286" s="81"/>
      <c r="G286" s="81"/>
    </row>
    <row r="287" ht="15.75" spans="1:7">
      <c r="A287" s="257" t="s">
        <v>189</v>
      </c>
      <c r="B287" s="74"/>
      <c r="C287" s="79">
        <f t="shared" si="6"/>
        <v>0</v>
      </c>
      <c r="D287" s="80">
        <f t="shared" si="5"/>
        <v>0</v>
      </c>
      <c r="E287" s="80"/>
      <c r="F287" s="81"/>
      <c r="G287" s="81"/>
    </row>
    <row r="288" ht="15.75" spans="1:7">
      <c r="A288" s="257" t="s">
        <v>190</v>
      </c>
      <c r="B288" s="74"/>
      <c r="C288" s="79">
        <f t="shared" si="6"/>
        <v>0</v>
      </c>
      <c r="D288" s="80">
        <f t="shared" si="5"/>
        <v>0</v>
      </c>
      <c r="E288" s="80"/>
      <c r="F288" s="81"/>
      <c r="G288" s="81"/>
    </row>
    <row r="289" ht="15.75" spans="1:7">
      <c r="A289" s="257" t="s">
        <v>191</v>
      </c>
      <c r="B289" s="74"/>
      <c r="C289" s="79">
        <f t="shared" si="6"/>
        <v>0</v>
      </c>
      <c r="D289" s="80">
        <f t="shared" si="5"/>
        <v>0</v>
      </c>
      <c r="E289" s="80"/>
      <c r="F289" s="81"/>
      <c r="G289" s="81"/>
    </row>
    <row r="290" ht="15.75" spans="1:7">
      <c r="A290" s="257" t="s">
        <v>192</v>
      </c>
      <c r="B290" s="74"/>
      <c r="C290" s="79">
        <f t="shared" si="6"/>
        <v>0</v>
      </c>
      <c r="D290" s="80">
        <f t="shared" si="5"/>
        <v>0</v>
      </c>
      <c r="E290" s="80"/>
      <c r="F290" s="81"/>
      <c r="G290" s="81"/>
    </row>
    <row r="291" ht="15.75" spans="1:7">
      <c r="A291" s="257" t="s">
        <v>193</v>
      </c>
      <c r="B291" s="74"/>
      <c r="C291" s="79">
        <f t="shared" si="6"/>
        <v>0</v>
      </c>
      <c r="D291" s="80">
        <f t="shared" si="5"/>
        <v>0</v>
      </c>
      <c r="E291" s="80"/>
      <c r="F291" s="81"/>
      <c r="G291" s="81"/>
    </row>
    <row r="292" ht="15.75" spans="1:7">
      <c r="A292" s="257" t="s">
        <v>194</v>
      </c>
      <c r="B292" s="74"/>
      <c r="C292" s="79">
        <f t="shared" si="6"/>
        <v>0</v>
      </c>
      <c r="D292" s="80">
        <f t="shared" si="5"/>
        <v>0</v>
      </c>
      <c r="E292" s="80"/>
      <c r="F292" s="81"/>
      <c r="G292" s="81"/>
    </row>
    <row r="293" ht="15.75" spans="1:7">
      <c r="A293" s="257" t="s">
        <v>195</v>
      </c>
      <c r="B293" s="74"/>
      <c r="C293" s="79">
        <f t="shared" si="6"/>
        <v>0</v>
      </c>
      <c r="D293" s="80">
        <f t="shared" si="5"/>
        <v>0</v>
      </c>
      <c r="E293" s="80"/>
      <c r="F293" s="81"/>
      <c r="G293" s="81"/>
    </row>
    <row r="294" ht="15.75" spans="1:7">
      <c r="A294" s="257" t="s">
        <v>196</v>
      </c>
      <c r="B294" s="74"/>
      <c r="C294" s="79">
        <f t="shared" si="6"/>
        <v>0</v>
      </c>
      <c r="D294" s="80">
        <f t="shared" si="5"/>
        <v>0</v>
      </c>
      <c r="E294" s="80"/>
      <c r="F294" s="81"/>
      <c r="G294" s="81"/>
    </row>
    <row r="295" ht="15.75" spans="1:7">
      <c r="A295" s="257" t="s">
        <v>197</v>
      </c>
      <c r="B295" s="74"/>
      <c r="C295" s="79">
        <f t="shared" si="6"/>
        <v>0</v>
      </c>
      <c r="D295" s="80">
        <f t="shared" si="5"/>
        <v>0</v>
      </c>
      <c r="E295" s="80"/>
      <c r="F295" s="81"/>
      <c r="G295" s="81"/>
    </row>
    <row r="296" ht="15.75" spans="1:7">
      <c r="A296" s="257" t="s">
        <v>198</v>
      </c>
      <c r="B296" s="74"/>
      <c r="C296" s="79">
        <f t="shared" si="6"/>
        <v>0</v>
      </c>
      <c r="D296" s="80">
        <f t="shared" si="5"/>
        <v>0</v>
      </c>
      <c r="E296" s="80"/>
      <c r="F296" s="81"/>
      <c r="G296" s="81"/>
    </row>
    <row r="297" ht="15.75" spans="1:7">
      <c r="A297" s="257" t="s">
        <v>199</v>
      </c>
      <c r="B297" s="74"/>
      <c r="C297" s="79">
        <f t="shared" si="6"/>
        <v>0</v>
      </c>
      <c r="D297" s="80">
        <f t="shared" si="5"/>
        <v>0</v>
      </c>
      <c r="E297" s="80"/>
      <c r="F297" s="81"/>
      <c r="G297" s="81"/>
    </row>
    <row r="298" ht="15.75" spans="1:7">
      <c r="A298" s="257" t="s">
        <v>200</v>
      </c>
      <c r="B298" s="74"/>
      <c r="C298" s="79">
        <f t="shared" si="6"/>
        <v>0</v>
      </c>
      <c r="D298" s="80">
        <f t="shared" si="5"/>
        <v>0</v>
      </c>
      <c r="E298" s="80"/>
      <c r="F298" s="81"/>
      <c r="G298" s="81"/>
    </row>
    <row r="299" ht="15.75" spans="1:7">
      <c r="A299" s="257" t="s">
        <v>201</v>
      </c>
      <c r="B299" s="74"/>
      <c r="C299" s="79">
        <f t="shared" si="6"/>
        <v>0</v>
      </c>
      <c r="D299" s="80">
        <f t="shared" si="5"/>
        <v>0</v>
      </c>
      <c r="E299" s="80"/>
      <c r="F299" s="81"/>
      <c r="G299" s="81"/>
    </row>
    <row r="300" ht="15.75" spans="1:7">
      <c r="A300" s="257" t="s">
        <v>202</v>
      </c>
      <c r="B300" s="74"/>
      <c r="C300" s="79">
        <f t="shared" si="6"/>
        <v>0</v>
      </c>
      <c r="D300" s="80">
        <f t="shared" si="5"/>
        <v>0</v>
      </c>
      <c r="E300" s="80"/>
      <c r="F300" s="81"/>
      <c r="G300" s="81"/>
    </row>
    <row r="301" ht="15.75" spans="1:7">
      <c r="A301" s="257" t="s">
        <v>203</v>
      </c>
      <c r="B301" s="74"/>
      <c r="C301" s="79">
        <f t="shared" si="6"/>
        <v>0</v>
      </c>
      <c r="D301" s="80">
        <f t="shared" si="5"/>
        <v>0</v>
      </c>
      <c r="E301" s="80"/>
      <c r="F301" s="81"/>
      <c r="G301" s="81"/>
    </row>
    <row r="302" ht="15.75" spans="1:7">
      <c r="A302" s="257" t="s">
        <v>204</v>
      </c>
      <c r="B302" s="74"/>
      <c r="C302" s="79">
        <f t="shared" si="6"/>
        <v>0</v>
      </c>
      <c r="D302" s="80">
        <f t="shared" si="5"/>
        <v>0</v>
      </c>
      <c r="E302" s="80"/>
      <c r="F302" s="81"/>
      <c r="G302" s="81"/>
    </row>
    <row r="303" ht="15.75" spans="1:7">
      <c r="A303" s="257" t="s">
        <v>205</v>
      </c>
      <c r="B303" s="74"/>
      <c r="C303" s="79">
        <f t="shared" si="6"/>
        <v>0</v>
      </c>
      <c r="D303" s="80">
        <f t="shared" si="5"/>
        <v>0</v>
      </c>
      <c r="E303" s="80"/>
      <c r="F303" s="81"/>
      <c r="G303" s="81"/>
    </row>
    <row r="304" ht="15.75" spans="1:7">
      <c r="A304" s="257" t="s">
        <v>206</v>
      </c>
      <c r="B304" s="74"/>
      <c r="C304" s="79">
        <f t="shared" si="6"/>
        <v>0</v>
      </c>
      <c r="D304" s="80">
        <f t="shared" si="5"/>
        <v>0</v>
      </c>
      <c r="E304" s="80"/>
      <c r="F304" s="81"/>
      <c r="G304" s="81"/>
    </row>
    <row r="305" ht="15.75" spans="1:7">
      <c r="A305" s="257" t="s">
        <v>207</v>
      </c>
      <c r="B305" s="74"/>
      <c r="C305" s="79">
        <f t="shared" si="6"/>
        <v>0</v>
      </c>
      <c r="D305" s="80">
        <f t="shared" si="5"/>
        <v>0</v>
      </c>
      <c r="E305" s="80"/>
      <c r="F305" s="81"/>
      <c r="G305" s="81"/>
    </row>
    <row r="306" ht="15.75" spans="1:7">
      <c r="A306" s="257" t="s">
        <v>208</v>
      </c>
      <c r="B306" s="74"/>
      <c r="C306" s="79">
        <f t="shared" si="6"/>
        <v>0</v>
      </c>
      <c r="D306" s="80">
        <f t="shared" si="5"/>
        <v>0</v>
      </c>
      <c r="E306" s="80"/>
      <c r="F306" s="81"/>
      <c r="G306" s="81"/>
    </row>
    <row r="307" ht="15.75" spans="1:7">
      <c r="A307" s="257" t="s">
        <v>209</v>
      </c>
      <c r="B307" s="74"/>
      <c r="C307" s="79">
        <f t="shared" si="6"/>
        <v>0</v>
      </c>
      <c r="D307" s="80">
        <f t="shared" si="5"/>
        <v>0</v>
      </c>
      <c r="E307" s="80"/>
      <c r="F307" s="81"/>
      <c r="G307" s="81"/>
    </row>
    <row r="308" ht="15.75" spans="1:7">
      <c r="A308" s="257" t="s">
        <v>210</v>
      </c>
      <c r="B308" s="74"/>
      <c r="C308" s="79">
        <f t="shared" si="6"/>
        <v>0</v>
      </c>
      <c r="D308" s="80">
        <f t="shared" si="5"/>
        <v>0</v>
      </c>
      <c r="E308" s="80"/>
      <c r="F308" s="81"/>
      <c r="G308" s="81"/>
    </row>
    <row r="309" ht="15.75" spans="1:7">
      <c r="A309" s="257" t="s">
        <v>211</v>
      </c>
      <c r="B309" s="74"/>
      <c r="C309" s="79">
        <f t="shared" si="6"/>
        <v>0</v>
      </c>
      <c r="D309" s="80">
        <f t="shared" si="5"/>
        <v>0</v>
      </c>
      <c r="E309" s="80"/>
      <c r="F309" s="81"/>
      <c r="G309" s="81"/>
    </row>
    <row r="310" ht="15.75" spans="1:7">
      <c r="A310" s="257" t="s">
        <v>212</v>
      </c>
      <c r="B310" s="74"/>
      <c r="C310" s="79">
        <f t="shared" si="6"/>
        <v>0</v>
      </c>
      <c r="D310" s="80">
        <f t="shared" si="5"/>
        <v>0</v>
      </c>
      <c r="E310" s="80"/>
      <c r="F310" s="81"/>
      <c r="G310" s="81"/>
    </row>
    <row r="311" ht="15.75" spans="1:7">
      <c r="A311" s="257" t="s">
        <v>213</v>
      </c>
      <c r="B311" s="74"/>
      <c r="C311" s="79">
        <f t="shared" si="6"/>
        <v>0</v>
      </c>
      <c r="D311" s="80">
        <f t="shared" si="5"/>
        <v>0</v>
      </c>
      <c r="E311" s="80"/>
      <c r="F311" s="81"/>
      <c r="G311" s="81"/>
    </row>
    <row r="312" ht="15.75" spans="1:7">
      <c r="A312" s="257" t="s">
        <v>214</v>
      </c>
      <c r="B312" s="74"/>
      <c r="C312" s="79">
        <f t="shared" si="6"/>
        <v>0</v>
      </c>
      <c r="D312" s="80">
        <f t="shared" si="5"/>
        <v>0</v>
      </c>
      <c r="E312" s="80"/>
      <c r="F312" s="81"/>
      <c r="G312" s="81"/>
    </row>
    <row r="313" ht="15.75" spans="1:7">
      <c r="A313" s="257" t="s">
        <v>215</v>
      </c>
      <c r="B313" s="74"/>
      <c r="C313" s="79">
        <f t="shared" si="6"/>
        <v>0</v>
      </c>
      <c r="D313" s="80">
        <f t="shared" si="5"/>
        <v>0</v>
      </c>
      <c r="E313" s="80"/>
      <c r="F313" s="81"/>
      <c r="G313" s="81"/>
    </row>
    <row r="314" ht="15.75" spans="1:7">
      <c r="A314" s="257" t="s">
        <v>216</v>
      </c>
      <c r="B314" s="74"/>
      <c r="C314" s="79">
        <f t="shared" si="6"/>
        <v>0</v>
      </c>
      <c r="D314" s="80">
        <f t="shared" si="5"/>
        <v>0</v>
      </c>
      <c r="E314" s="80"/>
      <c r="F314" s="81"/>
      <c r="G314" s="81"/>
    </row>
    <row r="315" ht="15.75" spans="1:7">
      <c r="A315" s="257" t="s">
        <v>217</v>
      </c>
      <c r="B315" s="74"/>
      <c r="C315" s="79">
        <f t="shared" si="6"/>
        <v>0</v>
      </c>
      <c r="D315" s="80">
        <f t="shared" si="5"/>
        <v>0</v>
      </c>
      <c r="E315" s="80"/>
      <c r="F315" s="81"/>
      <c r="G315" s="81"/>
    </row>
    <row r="316" ht="15.75" spans="1:7">
      <c r="A316" s="257" t="s">
        <v>218</v>
      </c>
      <c r="B316" s="74"/>
      <c r="C316" s="79">
        <f t="shared" si="6"/>
        <v>0</v>
      </c>
      <c r="D316" s="80">
        <f t="shared" si="5"/>
        <v>0</v>
      </c>
      <c r="E316" s="80"/>
      <c r="F316" s="81"/>
      <c r="G316" s="81"/>
    </row>
    <row r="317" ht="15.75" spans="1:7">
      <c r="A317" s="257" t="s">
        <v>219</v>
      </c>
      <c r="B317" s="74"/>
      <c r="C317" s="79">
        <f t="shared" si="6"/>
        <v>0</v>
      </c>
      <c r="D317" s="80">
        <f t="shared" si="5"/>
        <v>0</v>
      </c>
      <c r="E317" s="80"/>
      <c r="F317" s="81"/>
      <c r="G317" s="81"/>
    </row>
    <row r="318" ht="15.75" spans="1:7">
      <c r="A318" s="257" t="s">
        <v>220</v>
      </c>
      <c r="B318" s="74"/>
      <c r="C318" s="79">
        <f t="shared" si="6"/>
        <v>0</v>
      </c>
      <c r="D318" s="80">
        <f t="shared" si="5"/>
        <v>0</v>
      </c>
      <c r="E318" s="80"/>
      <c r="F318" s="81"/>
      <c r="G318" s="81"/>
    </row>
    <row r="319" ht="15.75" spans="1:7">
      <c r="A319" s="257" t="s">
        <v>221</v>
      </c>
      <c r="B319" s="74"/>
      <c r="C319" s="79">
        <f t="shared" si="6"/>
        <v>0</v>
      </c>
      <c r="D319" s="80">
        <f t="shared" si="5"/>
        <v>0</v>
      </c>
      <c r="E319" s="80"/>
      <c r="F319" s="81"/>
      <c r="G319" s="81"/>
    </row>
    <row r="320" ht="15.75" spans="1:7">
      <c r="A320" s="257" t="s">
        <v>221</v>
      </c>
      <c r="B320" s="257"/>
      <c r="C320" s="79">
        <f t="shared" si="6"/>
        <v>0</v>
      </c>
      <c r="D320" s="260"/>
      <c r="E320" s="72"/>
      <c r="F320" s="73"/>
      <c r="G320" s="84"/>
    </row>
    <row r="321" ht="15.75" spans="1:7">
      <c r="A321" s="257"/>
      <c r="B321" s="257"/>
      <c r="D321" s="116"/>
      <c r="E321" s="261"/>
      <c r="F321" s="262"/>
      <c r="G321" s="262"/>
    </row>
    <row r="322" ht="48.75" spans="1:7">
      <c r="A322" s="256" t="s">
        <v>233</v>
      </c>
      <c r="B322" s="257"/>
      <c r="D322" s="116"/>
      <c r="E322" s="263"/>
      <c r="F322" s="264"/>
      <c r="G322" s="265"/>
    </row>
    <row r="323" ht="48.75" spans="1:7">
      <c r="A323" s="256" t="s">
        <v>224</v>
      </c>
      <c r="B323" s="116"/>
      <c r="D323" s="72"/>
      <c r="E323" s="72"/>
      <c r="F323" s="73"/>
      <c r="G323" s="73"/>
    </row>
    <row r="324" ht="84.75" spans="1:7">
      <c r="A324" s="266" t="s">
        <v>225</v>
      </c>
      <c r="B324" s="116"/>
      <c r="D324" s="72"/>
      <c r="E324" s="72"/>
      <c r="F324" s="73"/>
      <c r="G324" s="73"/>
    </row>
    <row r="327" spans="1:2">
      <c r="A327" s="531" t="s">
        <v>226</v>
      </c>
      <c r="B327" s="95" t="e">
        <f>AVERAGE(B275:B314)</f>
        <v>#DIV/0!</v>
      </c>
    </row>
    <row r="328" spans="1:2">
      <c r="A328" s="531" t="s">
        <v>227</v>
      </c>
      <c r="B328" s="96" t="e">
        <f>AVERAGE(B280:B309)</f>
        <v>#DIV/0!</v>
      </c>
    </row>
    <row r="329" spans="1:2">
      <c r="A329" s="531" t="s">
        <v>228</v>
      </c>
      <c r="B329" s="96" t="e">
        <f>AVERAGE(B286:B304)</f>
        <v>#DIV/0!</v>
      </c>
    </row>
    <row r="332" ht="15.75"/>
    <row r="333" customHeight="1" spans="1:7">
      <c r="A333" s="252" t="s">
        <v>165</v>
      </c>
      <c r="B333" s="268" t="s">
        <v>37</v>
      </c>
      <c r="C333" s="269"/>
      <c r="D333" s="270"/>
      <c r="E333" s="70">
        <f>(1-E388)^(1/3)-1</f>
        <v>0</v>
      </c>
      <c r="F333" s="70">
        <f>(1-F388)^(1/3)-1</f>
        <v>0</v>
      </c>
      <c r="G333" s="70"/>
    </row>
    <row r="334" ht="72.75" spans="1:7">
      <c r="A334" s="253"/>
      <c r="B334" s="254" t="s">
        <v>167</v>
      </c>
      <c r="D334" s="83" t="s">
        <v>168</v>
      </c>
      <c r="E334" s="83" t="s">
        <v>169</v>
      </c>
      <c r="F334" s="84" t="s">
        <v>169</v>
      </c>
      <c r="G334" s="84"/>
    </row>
    <row r="335" ht="24.75" spans="1:7">
      <c r="A335" s="254"/>
      <c r="B335" s="257" t="s">
        <v>365</v>
      </c>
      <c r="D335" s="271" t="s">
        <v>171</v>
      </c>
      <c r="E335" s="271" t="s">
        <v>171</v>
      </c>
      <c r="F335" s="271" t="s">
        <v>171</v>
      </c>
      <c r="G335" s="271"/>
    </row>
    <row r="336" ht="15.75" spans="1:7">
      <c r="A336" s="75">
        <v>1</v>
      </c>
      <c r="B336" s="76">
        <v>2</v>
      </c>
      <c r="C336" s="131"/>
      <c r="D336" s="76">
        <v>3</v>
      </c>
      <c r="E336" s="76">
        <v>4</v>
      </c>
      <c r="F336" s="77">
        <v>5</v>
      </c>
      <c r="G336" s="77"/>
    </row>
    <row r="337" ht="15.75" spans="1:7">
      <c r="A337" s="533" t="s">
        <v>172</v>
      </c>
      <c r="B337" s="272"/>
      <c r="C337">
        <v>0</v>
      </c>
      <c r="D337" s="80">
        <f t="shared" ref="D337:D386" si="7">IF(B337=0,0,IF(B337&lt;=E$391,0,B337-E$391)/B337)</f>
        <v>0</v>
      </c>
      <c r="E337" s="80"/>
      <c r="F337" s="81"/>
      <c r="G337" s="81"/>
    </row>
    <row r="338" ht="15.75" spans="1:7">
      <c r="A338" s="533" t="s">
        <v>173</v>
      </c>
      <c r="B338" s="74"/>
      <c r="C338" s="79">
        <f>B337</f>
        <v>0</v>
      </c>
      <c r="D338" s="80">
        <f t="shared" si="7"/>
        <v>0</v>
      </c>
      <c r="E338" s="80"/>
      <c r="F338" s="81"/>
      <c r="G338" s="81"/>
    </row>
    <row r="339" ht="15.75" spans="1:7">
      <c r="A339" s="533" t="s">
        <v>174</v>
      </c>
      <c r="B339" s="74"/>
      <c r="C339" s="79">
        <f t="shared" ref="C339:C387" si="8">B338</f>
        <v>0</v>
      </c>
      <c r="D339" s="80">
        <f t="shared" si="7"/>
        <v>0</v>
      </c>
      <c r="E339" s="80"/>
      <c r="F339" s="81"/>
      <c r="G339" s="81"/>
    </row>
    <row r="340" ht="15.75" spans="1:7">
      <c r="A340" s="533" t="s">
        <v>175</v>
      </c>
      <c r="B340" s="74"/>
      <c r="C340" s="79">
        <f t="shared" si="8"/>
        <v>0</v>
      </c>
      <c r="D340" s="80">
        <f t="shared" si="7"/>
        <v>0</v>
      </c>
      <c r="E340" s="80"/>
      <c r="F340" s="81"/>
      <c r="G340" s="81"/>
    </row>
    <row r="341" ht="15.75" spans="1:7">
      <c r="A341" s="533" t="s">
        <v>176</v>
      </c>
      <c r="B341" s="74"/>
      <c r="C341" s="79">
        <f t="shared" si="8"/>
        <v>0</v>
      </c>
      <c r="D341" s="80">
        <f t="shared" si="7"/>
        <v>0</v>
      </c>
      <c r="E341" s="80"/>
      <c r="F341" s="81"/>
      <c r="G341" s="81"/>
    </row>
    <row r="342" ht="15.75" spans="1:7">
      <c r="A342" s="533" t="s">
        <v>177</v>
      </c>
      <c r="B342" s="74"/>
      <c r="C342" s="79">
        <f t="shared" si="8"/>
        <v>0</v>
      </c>
      <c r="D342" s="80">
        <f t="shared" si="7"/>
        <v>0</v>
      </c>
      <c r="E342" s="80"/>
      <c r="F342" s="81"/>
      <c r="G342" s="81"/>
    </row>
    <row r="343" ht="15.75" spans="1:7">
      <c r="A343" s="533" t="s">
        <v>178</v>
      </c>
      <c r="B343" s="74"/>
      <c r="C343" s="79">
        <f t="shared" si="8"/>
        <v>0</v>
      </c>
      <c r="D343" s="80">
        <f t="shared" si="7"/>
        <v>0</v>
      </c>
      <c r="E343" s="80"/>
      <c r="F343" s="81"/>
      <c r="G343" s="81"/>
    </row>
    <row r="344" ht="15.75" spans="1:7">
      <c r="A344" s="257" t="s">
        <v>179</v>
      </c>
      <c r="B344" s="74"/>
      <c r="C344" s="79">
        <f t="shared" si="8"/>
        <v>0</v>
      </c>
      <c r="D344" s="80">
        <f t="shared" si="7"/>
        <v>0</v>
      </c>
      <c r="E344" s="80"/>
      <c r="F344" s="81"/>
      <c r="G344" s="81"/>
    </row>
    <row r="345" ht="15.75" spans="1:7">
      <c r="A345" s="257" t="s">
        <v>180</v>
      </c>
      <c r="B345" s="74"/>
      <c r="C345" s="79">
        <f t="shared" si="8"/>
        <v>0</v>
      </c>
      <c r="D345" s="80">
        <f t="shared" si="7"/>
        <v>0</v>
      </c>
      <c r="E345" s="80"/>
      <c r="F345" s="81"/>
      <c r="G345" s="81"/>
    </row>
    <row r="346" ht="15.75" spans="1:7">
      <c r="A346" s="257" t="s">
        <v>181</v>
      </c>
      <c r="B346" s="74"/>
      <c r="C346" s="79">
        <f t="shared" si="8"/>
        <v>0</v>
      </c>
      <c r="D346" s="80">
        <f t="shared" si="7"/>
        <v>0</v>
      </c>
      <c r="E346" s="80"/>
      <c r="F346" s="81"/>
      <c r="G346" s="81"/>
    </row>
    <row r="347" ht="15.75" spans="1:7">
      <c r="A347" s="257" t="s">
        <v>182</v>
      </c>
      <c r="B347" s="74"/>
      <c r="C347" s="79">
        <f t="shared" si="8"/>
        <v>0</v>
      </c>
      <c r="D347" s="80">
        <f t="shared" si="7"/>
        <v>0</v>
      </c>
      <c r="E347" s="80"/>
      <c r="F347" s="81"/>
      <c r="G347" s="81"/>
    </row>
    <row r="348" ht="15.75" spans="1:7">
      <c r="A348" s="257" t="s">
        <v>183</v>
      </c>
      <c r="B348" s="74"/>
      <c r="C348" s="79">
        <f t="shared" si="8"/>
        <v>0</v>
      </c>
      <c r="D348" s="80">
        <f t="shared" si="7"/>
        <v>0</v>
      </c>
      <c r="E348" s="80"/>
      <c r="F348" s="81"/>
      <c r="G348" s="81"/>
    </row>
    <row r="349" ht="15.75" spans="1:7">
      <c r="A349" s="257" t="s">
        <v>184</v>
      </c>
      <c r="B349" s="74"/>
      <c r="C349" s="79">
        <f t="shared" si="8"/>
        <v>0</v>
      </c>
      <c r="D349" s="80">
        <f t="shared" si="7"/>
        <v>0</v>
      </c>
      <c r="E349" s="80"/>
      <c r="F349" s="81"/>
      <c r="G349" s="81"/>
    </row>
    <row r="350" ht="15.75" spans="1:7">
      <c r="A350" s="257" t="s">
        <v>185</v>
      </c>
      <c r="B350" s="74"/>
      <c r="C350" s="79">
        <f t="shared" si="8"/>
        <v>0</v>
      </c>
      <c r="D350" s="80">
        <f t="shared" si="7"/>
        <v>0</v>
      </c>
      <c r="E350" s="80"/>
      <c r="F350" s="81"/>
      <c r="G350" s="81"/>
    </row>
    <row r="351" ht="15.75" spans="1:7">
      <c r="A351" s="257" t="s">
        <v>186</v>
      </c>
      <c r="B351" s="74"/>
      <c r="C351" s="79">
        <f t="shared" si="8"/>
        <v>0</v>
      </c>
      <c r="D351" s="80">
        <f t="shared" si="7"/>
        <v>0</v>
      </c>
      <c r="E351" s="80"/>
      <c r="F351" s="81"/>
      <c r="G351" s="81"/>
    </row>
    <row r="352" ht="15.75" spans="1:7">
      <c r="A352" s="257" t="s">
        <v>187</v>
      </c>
      <c r="B352" s="74"/>
      <c r="C352" s="79">
        <f t="shared" si="8"/>
        <v>0</v>
      </c>
      <c r="D352" s="80">
        <f t="shared" si="7"/>
        <v>0</v>
      </c>
      <c r="E352" s="80"/>
      <c r="F352" s="81"/>
      <c r="G352" s="81"/>
    </row>
    <row r="353" ht="15.75" spans="1:7">
      <c r="A353" s="257" t="s">
        <v>188</v>
      </c>
      <c r="B353" s="74"/>
      <c r="C353" s="79">
        <f t="shared" si="8"/>
        <v>0</v>
      </c>
      <c r="D353" s="80">
        <f t="shared" si="7"/>
        <v>0</v>
      </c>
      <c r="E353" s="80"/>
      <c r="F353" s="81"/>
      <c r="G353" s="81"/>
    </row>
    <row r="354" ht="15.75" spans="1:7">
      <c r="A354" s="257" t="s">
        <v>189</v>
      </c>
      <c r="B354" s="74"/>
      <c r="C354" s="79">
        <f t="shared" si="8"/>
        <v>0</v>
      </c>
      <c r="D354" s="80">
        <f t="shared" si="7"/>
        <v>0</v>
      </c>
      <c r="E354" s="80"/>
      <c r="F354" s="81"/>
      <c r="G354" s="81"/>
    </row>
    <row r="355" ht="15.75" spans="1:7">
      <c r="A355" s="257" t="s">
        <v>190</v>
      </c>
      <c r="B355" s="74"/>
      <c r="C355" s="79">
        <f t="shared" si="8"/>
        <v>0</v>
      </c>
      <c r="D355" s="80">
        <f t="shared" si="7"/>
        <v>0</v>
      </c>
      <c r="E355" s="80"/>
      <c r="F355" s="81"/>
      <c r="G355" s="81"/>
    </row>
    <row r="356" ht="15.75" spans="1:7">
      <c r="A356" s="257" t="s">
        <v>191</v>
      </c>
      <c r="B356" s="74"/>
      <c r="C356" s="79">
        <f t="shared" si="8"/>
        <v>0</v>
      </c>
      <c r="D356" s="80">
        <f t="shared" si="7"/>
        <v>0</v>
      </c>
      <c r="E356" s="80"/>
      <c r="F356" s="81"/>
      <c r="G356" s="81"/>
    </row>
    <row r="357" ht="15.75" spans="1:7">
      <c r="A357" s="257" t="s">
        <v>192</v>
      </c>
      <c r="B357" s="74"/>
      <c r="C357" s="79">
        <f t="shared" si="8"/>
        <v>0</v>
      </c>
      <c r="D357" s="80">
        <f t="shared" si="7"/>
        <v>0</v>
      </c>
      <c r="E357" s="80"/>
      <c r="F357" s="81"/>
      <c r="G357" s="81"/>
    </row>
    <row r="358" ht="15.75" spans="1:7">
      <c r="A358" s="257" t="s">
        <v>193</v>
      </c>
      <c r="B358" s="74"/>
      <c r="C358" s="79">
        <f t="shared" si="8"/>
        <v>0</v>
      </c>
      <c r="D358" s="80">
        <f t="shared" si="7"/>
        <v>0</v>
      </c>
      <c r="E358" s="80"/>
      <c r="F358" s="81"/>
      <c r="G358" s="81"/>
    </row>
    <row r="359" ht="15.75" spans="1:7">
      <c r="A359" s="257" t="s">
        <v>194</v>
      </c>
      <c r="B359" s="74"/>
      <c r="C359" s="79">
        <f t="shared" si="8"/>
        <v>0</v>
      </c>
      <c r="D359" s="80">
        <f t="shared" si="7"/>
        <v>0</v>
      </c>
      <c r="E359" s="80"/>
      <c r="F359" s="81"/>
      <c r="G359" s="81"/>
    </row>
    <row r="360" ht="15.75" spans="1:7">
      <c r="A360" s="257" t="s">
        <v>195</v>
      </c>
      <c r="B360" s="74"/>
      <c r="C360" s="79">
        <f t="shared" si="8"/>
        <v>0</v>
      </c>
      <c r="D360" s="80">
        <f t="shared" si="7"/>
        <v>0</v>
      </c>
      <c r="E360" s="80"/>
      <c r="F360" s="81"/>
      <c r="G360" s="81"/>
    </row>
    <row r="361" ht="15.75" spans="1:7">
      <c r="A361" s="257" t="s">
        <v>196</v>
      </c>
      <c r="B361" s="74"/>
      <c r="C361" s="79">
        <f t="shared" si="8"/>
        <v>0</v>
      </c>
      <c r="D361" s="80">
        <f t="shared" si="7"/>
        <v>0</v>
      </c>
      <c r="E361" s="80"/>
      <c r="F361" s="81"/>
      <c r="G361" s="81"/>
    </row>
    <row r="362" ht="15.75" spans="1:7">
      <c r="A362" s="257" t="s">
        <v>197</v>
      </c>
      <c r="B362" s="74"/>
      <c r="C362" s="79">
        <f t="shared" si="8"/>
        <v>0</v>
      </c>
      <c r="D362" s="80">
        <f t="shared" si="7"/>
        <v>0</v>
      </c>
      <c r="E362" s="80"/>
      <c r="F362" s="81"/>
      <c r="G362" s="81"/>
    </row>
    <row r="363" ht="15.75" spans="1:7">
      <c r="A363" s="257" t="s">
        <v>198</v>
      </c>
      <c r="B363" s="74"/>
      <c r="C363" s="79">
        <f t="shared" si="8"/>
        <v>0</v>
      </c>
      <c r="D363" s="80">
        <f t="shared" si="7"/>
        <v>0</v>
      </c>
      <c r="E363" s="80"/>
      <c r="F363" s="81"/>
      <c r="G363" s="81"/>
    </row>
    <row r="364" ht="15.75" spans="1:7">
      <c r="A364" s="257" t="s">
        <v>199</v>
      </c>
      <c r="B364" s="74"/>
      <c r="C364" s="79">
        <f t="shared" si="8"/>
        <v>0</v>
      </c>
      <c r="D364" s="80">
        <f t="shared" si="7"/>
        <v>0</v>
      </c>
      <c r="E364" s="80"/>
      <c r="F364" s="81"/>
      <c r="G364" s="81"/>
    </row>
    <row r="365" ht="15.75" spans="1:7">
      <c r="A365" s="257" t="s">
        <v>200</v>
      </c>
      <c r="B365" s="74"/>
      <c r="C365" s="79">
        <f t="shared" si="8"/>
        <v>0</v>
      </c>
      <c r="D365" s="80">
        <f t="shared" si="7"/>
        <v>0</v>
      </c>
      <c r="E365" s="80"/>
      <c r="F365" s="81"/>
      <c r="G365" s="81"/>
    </row>
    <row r="366" ht="15.75" spans="1:7">
      <c r="A366" s="257" t="s">
        <v>201</v>
      </c>
      <c r="B366" s="74"/>
      <c r="C366" s="79">
        <f t="shared" si="8"/>
        <v>0</v>
      </c>
      <c r="D366" s="80">
        <f t="shared" si="7"/>
        <v>0</v>
      </c>
      <c r="E366" s="80"/>
      <c r="F366" s="81"/>
      <c r="G366" s="81"/>
    </row>
    <row r="367" ht="15.75" spans="1:7">
      <c r="A367" s="257" t="s">
        <v>202</v>
      </c>
      <c r="B367" s="74"/>
      <c r="C367" s="79">
        <f t="shared" si="8"/>
        <v>0</v>
      </c>
      <c r="D367" s="80">
        <f t="shared" si="7"/>
        <v>0</v>
      </c>
      <c r="E367" s="80"/>
      <c r="F367" s="81"/>
      <c r="G367" s="81"/>
    </row>
    <row r="368" ht="15.75" spans="1:7">
      <c r="A368" s="257" t="s">
        <v>203</v>
      </c>
      <c r="B368" s="74"/>
      <c r="C368" s="79">
        <f t="shared" si="8"/>
        <v>0</v>
      </c>
      <c r="D368" s="80">
        <f t="shared" si="7"/>
        <v>0</v>
      </c>
      <c r="E368" s="80"/>
      <c r="F368" s="81"/>
      <c r="G368" s="81"/>
    </row>
    <row r="369" ht="15.75" spans="1:7">
      <c r="A369" s="257" t="s">
        <v>204</v>
      </c>
      <c r="B369" s="74"/>
      <c r="C369" s="79">
        <f t="shared" si="8"/>
        <v>0</v>
      </c>
      <c r="D369" s="80">
        <f t="shared" si="7"/>
        <v>0</v>
      </c>
      <c r="E369" s="80"/>
      <c r="F369" s="81"/>
      <c r="G369" s="81"/>
    </row>
    <row r="370" ht="15.75" spans="1:7">
      <c r="A370" s="257" t="s">
        <v>205</v>
      </c>
      <c r="B370" s="74"/>
      <c r="C370" s="79">
        <f t="shared" si="8"/>
        <v>0</v>
      </c>
      <c r="D370" s="80">
        <f t="shared" si="7"/>
        <v>0</v>
      </c>
      <c r="E370" s="80"/>
      <c r="F370" s="81"/>
      <c r="G370" s="81"/>
    </row>
    <row r="371" ht="15.75" spans="1:7">
      <c r="A371" s="257" t="s">
        <v>206</v>
      </c>
      <c r="B371" s="74"/>
      <c r="C371" s="79">
        <f t="shared" si="8"/>
        <v>0</v>
      </c>
      <c r="D371" s="80">
        <f t="shared" si="7"/>
        <v>0</v>
      </c>
      <c r="E371" s="80"/>
      <c r="F371" s="81"/>
      <c r="G371" s="81"/>
    </row>
    <row r="372" ht="15.75" spans="1:7">
      <c r="A372" s="257" t="s">
        <v>207</v>
      </c>
      <c r="B372" s="74"/>
      <c r="C372" s="79">
        <f t="shared" si="8"/>
        <v>0</v>
      </c>
      <c r="D372" s="80">
        <f t="shared" si="7"/>
        <v>0</v>
      </c>
      <c r="E372" s="80"/>
      <c r="F372" s="81"/>
      <c r="G372" s="81"/>
    </row>
    <row r="373" ht="15.75" spans="1:7">
      <c r="A373" s="257" t="s">
        <v>208</v>
      </c>
      <c r="B373" s="74"/>
      <c r="C373" s="79">
        <f t="shared" si="8"/>
        <v>0</v>
      </c>
      <c r="D373" s="80">
        <f t="shared" si="7"/>
        <v>0</v>
      </c>
      <c r="E373" s="80"/>
      <c r="F373" s="81"/>
      <c r="G373" s="81"/>
    </row>
    <row r="374" ht="15.75" spans="1:7">
      <c r="A374" s="257" t="s">
        <v>209</v>
      </c>
      <c r="B374" s="74"/>
      <c r="C374" s="79">
        <f t="shared" si="8"/>
        <v>0</v>
      </c>
      <c r="D374" s="80">
        <f t="shared" si="7"/>
        <v>0</v>
      </c>
      <c r="E374" s="80"/>
      <c r="F374" s="81"/>
      <c r="G374" s="81"/>
    </row>
    <row r="375" ht="15.75" spans="1:7">
      <c r="A375" s="257" t="s">
        <v>210</v>
      </c>
      <c r="B375" s="74"/>
      <c r="C375" s="79">
        <f t="shared" si="8"/>
        <v>0</v>
      </c>
      <c r="D375" s="80">
        <f t="shared" si="7"/>
        <v>0</v>
      </c>
      <c r="E375" s="80"/>
      <c r="F375" s="81"/>
      <c r="G375" s="81"/>
    </row>
    <row r="376" ht="15.75" spans="1:7">
      <c r="A376" s="257" t="s">
        <v>211</v>
      </c>
      <c r="B376" s="74"/>
      <c r="C376" s="79">
        <f t="shared" si="8"/>
        <v>0</v>
      </c>
      <c r="D376" s="80">
        <f t="shared" si="7"/>
        <v>0</v>
      </c>
      <c r="E376" s="80"/>
      <c r="F376" s="81"/>
      <c r="G376" s="81"/>
    </row>
    <row r="377" ht="15.75" spans="1:7">
      <c r="A377" s="257" t="s">
        <v>212</v>
      </c>
      <c r="B377" s="74"/>
      <c r="C377" s="79">
        <f t="shared" si="8"/>
        <v>0</v>
      </c>
      <c r="D377" s="80">
        <f t="shared" si="7"/>
        <v>0</v>
      </c>
      <c r="E377" s="80"/>
      <c r="F377" s="81"/>
      <c r="G377" s="81"/>
    </row>
    <row r="378" ht="15.75" spans="1:7">
      <c r="A378" s="257" t="s">
        <v>213</v>
      </c>
      <c r="B378" s="74"/>
      <c r="C378" s="79">
        <f t="shared" si="8"/>
        <v>0</v>
      </c>
      <c r="D378" s="80">
        <f t="shared" si="7"/>
        <v>0</v>
      </c>
      <c r="E378" s="80"/>
      <c r="F378" s="81"/>
      <c r="G378" s="81"/>
    </row>
    <row r="379" ht="15.75" spans="1:7">
      <c r="A379" s="257" t="s">
        <v>214</v>
      </c>
      <c r="B379" s="74"/>
      <c r="C379" s="79">
        <f t="shared" si="8"/>
        <v>0</v>
      </c>
      <c r="D379" s="80">
        <f t="shared" si="7"/>
        <v>0</v>
      </c>
      <c r="E379" s="80"/>
      <c r="F379" s="81"/>
      <c r="G379" s="81"/>
    </row>
    <row r="380" ht="15.75" spans="1:7">
      <c r="A380" s="257" t="s">
        <v>215</v>
      </c>
      <c r="B380" s="74"/>
      <c r="C380" s="79">
        <f t="shared" si="8"/>
        <v>0</v>
      </c>
      <c r="D380" s="80">
        <f t="shared" si="7"/>
        <v>0</v>
      </c>
      <c r="E380" s="80"/>
      <c r="F380" s="81"/>
      <c r="G380" s="81"/>
    </row>
    <row r="381" ht="15.75" spans="1:7">
      <c r="A381" s="257" t="s">
        <v>216</v>
      </c>
      <c r="B381" s="74"/>
      <c r="C381" s="79">
        <f t="shared" si="8"/>
        <v>0</v>
      </c>
      <c r="D381" s="80">
        <f t="shared" si="7"/>
        <v>0</v>
      </c>
      <c r="E381" s="80"/>
      <c r="F381" s="81"/>
      <c r="G381" s="81"/>
    </row>
    <row r="382" ht="15.75" spans="1:7">
      <c r="A382" s="257" t="s">
        <v>217</v>
      </c>
      <c r="B382" s="74"/>
      <c r="C382" s="79">
        <f t="shared" si="8"/>
        <v>0</v>
      </c>
      <c r="D382" s="80">
        <f t="shared" si="7"/>
        <v>0</v>
      </c>
      <c r="E382" s="80"/>
      <c r="F382" s="81"/>
      <c r="G382" s="81"/>
    </row>
    <row r="383" ht="15.75" spans="1:7">
      <c r="A383" s="257" t="s">
        <v>218</v>
      </c>
      <c r="B383" s="74"/>
      <c r="C383" s="79">
        <f t="shared" si="8"/>
        <v>0</v>
      </c>
      <c r="D383" s="80">
        <f t="shared" si="7"/>
        <v>0</v>
      </c>
      <c r="E383" s="80"/>
      <c r="F383" s="81"/>
      <c r="G383" s="81"/>
    </row>
    <row r="384" ht="15.75" spans="1:7">
      <c r="A384" s="257" t="s">
        <v>219</v>
      </c>
      <c r="B384" s="74"/>
      <c r="C384" s="79">
        <f t="shared" si="8"/>
        <v>0</v>
      </c>
      <c r="D384" s="80">
        <f t="shared" si="7"/>
        <v>0</v>
      </c>
      <c r="E384" s="80"/>
      <c r="F384" s="81"/>
      <c r="G384" s="81"/>
    </row>
    <row r="385" ht="15.75" spans="1:7">
      <c r="A385" s="257" t="s">
        <v>220</v>
      </c>
      <c r="B385" s="74"/>
      <c r="C385" s="79">
        <f t="shared" si="8"/>
        <v>0</v>
      </c>
      <c r="D385" s="80">
        <f t="shared" si="7"/>
        <v>0</v>
      </c>
      <c r="E385" s="80"/>
      <c r="F385" s="81"/>
      <c r="G385" s="81"/>
    </row>
    <row r="386" ht="15.75" spans="1:7">
      <c r="A386" s="257" t="s">
        <v>221</v>
      </c>
      <c r="B386" s="259"/>
      <c r="C386" s="79">
        <f t="shared" si="8"/>
        <v>0</v>
      </c>
      <c r="D386" s="80">
        <f t="shared" si="7"/>
        <v>0</v>
      </c>
      <c r="E386" s="80"/>
      <c r="F386" s="81"/>
      <c r="G386" s="81"/>
    </row>
    <row r="387" ht="15.75" spans="1:7">
      <c r="A387" s="257" t="s">
        <v>221</v>
      </c>
      <c r="B387" s="257"/>
      <c r="C387" s="79">
        <f t="shared" si="8"/>
        <v>0</v>
      </c>
      <c r="D387" s="260" t="s">
        <v>124</v>
      </c>
      <c r="E387" s="72"/>
      <c r="F387" s="73"/>
      <c r="G387" s="84"/>
    </row>
    <row r="388" ht="15.75" spans="1:7">
      <c r="A388" s="257"/>
      <c r="B388" s="257"/>
      <c r="D388" s="116" t="s">
        <v>124</v>
      </c>
      <c r="E388" s="261"/>
      <c r="F388" s="262"/>
      <c r="G388" s="262"/>
    </row>
    <row r="389" ht="48.75" spans="1:7">
      <c r="A389" s="256" t="s">
        <v>233</v>
      </c>
      <c r="B389" s="257"/>
      <c r="D389" s="116" t="s">
        <v>124</v>
      </c>
      <c r="E389" s="263"/>
      <c r="F389" s="264"/>
      <c r="G389" s="265"/>
    </row>
    <row r="390" ht="48.75" spans="1:7">
      <c r="A390" s="256" t="s">
        <v>224</v>
      </c>
      <c r="B390" s="116"/>
      <c r="D390" s="72"/>
      <c r="E390" s="72"/>
      <c r="F390" s="73"/>
      <c r="G390" s="73"/>
    </row>
    <row r="391" ht="84.75" spans="1:7">
      <c r="A391" s="266" t="s">
        <v>225</v>
      </c>
      <c r="B391" s="116"/>
      <c r="D391" s="72"/>
      <c r="E391" s="72"/>
      <c r="F391" s="73"/>
      <c r="G391" s="73"/>
    </row>
    <row r="394" spans="1:2">
      <c r="A394" s="531" t="s">
        <v>226</v>
      </c>
      <c r="B394" s="95" t="e">
        <f>AVERAGE(B342:B381)</f>
        <v>#DIV/0!</v>
      </c>
    </row>
    <row r="395" spans="1:2">
      <c r="A395" s="531" t="s">
        <v>227</v>
      </c>
      <c r="B395" s="96" t="e">
        <f>AVERAGE(B347:B376)</f>
        <v>#DIV/0!</v>
      </c>
    </row>
    <row r="396" spans="1:2">
      <c r="A396" s="531" t="s">
        <v>228</v>
      </c>
      <c r="B396" s="96" t="e">
        <f>AVERAGE(B353:B371)</f>
        <v>#DIV/0!</v>
      </c>
    </row>
    <row r="400" ht="15.75"/>
    <row r="401" ht="15.75" spans="1:7">
      <c r="A401" s="252" t="s">
        <v>165</v>
      </c>
      <c r="B401" s="273" t="s">
        <v>366</v>
      </c>
      <c r="C401" s="274"/>
      <c r="D401" s="275"/>
      <c r="E401" s="70" t="e">
        <f>(1-E456)^(1/3)-1</f>
        <v>#DIV/0!</v>
      </c>
      <c r="F401" s="70" t="e">
        <f>(1-F456)^(1/3)-1</f>
        <v>#DIV/0!</v>
      </c>
      <c r="G401" s="70"/>
    </row>
    <row r="402" ht="72.75" spans="1:7">
      <c r="A402" s="253"/>
      <c r="B402" s="254" t="s">
        <v>167</v>
      </c>
      <c r="C402">
        <v>0</v>
      </c>
      <c r="D402" s="72" t="s">
        <v>169</v>
      </c>
      <c r="E402" s="72" t="s">
        <v>169</v>
      </c>
      <c r="F402" s="73" t="s">
        <v>169</v>
      </c>
      <c r="G402" s="73"/>
    </row>
    <row r="403" ht="60.75" spans="1:6">
      <c r="A403" s="254"/>
      <c r="B403" s="116" t="s">
        <v>367</v>
      </c>
      <c r="C403" s="79" t="str">
        <f>B402</f>
        <v>Фактическое удельное годовое потребление</v>
      </c>
      <c r="D403" s="271" t="s">
        <v>171</v>
      </c>
      <c r="E403" s="536" t="s">
        <v>227</v>
      </c>
      <c r="F403" s="276"/>
    </row>
    <row r="404" ht="24.75" spans="1:7">
      <c r="A404" s="277">
        <v>1</v>
      </c>
      <c r="B404" s="277"/>
      <c r="C404" s="79" t="str">
        <f t="shared" ref="C404:C452" si="9">B403</f>
        <v>кгут / кв. м</v>
      </c>
      <c r="D404" s="116" t="s">
        <v>367</v>
      </c>
      <c r="E404" s="278">
        <v>5</v>
      </c>
      <c r="F404" s="279">
        <v>6</v>
      </c>
      <c r="G404" s="280"/>
    </row>
    <row r="405" ht="15.75" spans="1:7">
      <c r="A405" s="533" t="s">
        <v>172</v>
      </c>
      <c r="B405" s="257"/>
      <c r="C405" s="79">
        <f t="shared" si="9"/>
        <v>0</v>
      </c>
      <c r="D405" s="281"/>
      <c r="E405" s="80"/>
      <c r="F405" s="81"/>
      <c r="G405" s="81"/>
    </row>
    <row r="406" ht="15.75" spans="1:7">
      <c r="A406" s="533" t="s">
        <v>173</v>
      </c>
      <c r="B406" s="257"/>
      <c r="C406" s="79">
        <f t="shared" si="9"/>
        <v>0</v>
      </c>
      <c r="D406" s="116"/>
      <c r="E406" s="80"/>
      <c r="F406" s="81"/>
      <c r="G406" s="81"/>
    </row>
    <row r="407" ht="15.75" spans="1:7">
      <c r="A407" s="533" t="s">
        <v>174</v>
      </c>
      <c r="B407" s="257"/>
      <c r="C407" s="79">
        <f t="shared" si="9"/>
        <v>0</v>
      </c>
      <c r="D407" s="116"/>
      <c r="E407" s="80"/>
      <c r="F407" s="81"/>
      <c r="G407" s="81"/>
    </row>
    <row r="408" ht="15.75" spans="1:7">
      <c r="A408" s="533" t="s">
        <v>175</v>
      </c>
      <c r="B408" s="257"/>
      <c r="C408" s="79">
        <f t="shared" si="9"/>
        <v>0</v>
      </c>
      <c r="D408" s="116"/>
      <c r="E408" s="80"/>
      <c r="F408" s="81"/>
      <c r="G408" s="81"/>
    </row>
    <row r="409" ht="15.75" spans="1:7">
      <c r="A409" s="533" t="s">
        <v>176</v>
      </c>
      <c r="B409" s="257"/>
      <c r="C409" s="79">
        <f t="shared" si="9"/>
        <v>0</v>
      </c>
      <c r="D409" s="116"/>
      <c r="E409" s="80"/>
      <c r="F409" s="81"/>
      <c r="G409" s="81"/>
    </row>
    <row r="410" ht="15.75" spans="1:7">
      <c r="A410" s="533" t="s">
        <v>177</v>
      </c>
      <c r="B410" s="257"/>
      <c r="C410" s="79">
        <f t="shared" si="9"/>
        <v>0</v>
      </c>
      <c r="D410" s="116"/>
      <c r="E410" s="80"/>
      <c r="F410" s="81"/>
      <c r="G410" s="81"/>
    </row>
    <row r="411" ht="15.75" spans="1:7">
      <c r="A411" s="533" t="s">
        <v>178</v>
      </c>
      <c r="B411" s="257"/>
      <c r="C411" s="79">
        <f t="shared" si="9"/>
        <v>0</v>
      </c>
      <c r="D411" s="116"/>
      <c r="E411" s="80"/>
      <c r="F411" s="81"/>
      <c r="G411" s="81"/>
    </row>
    <row r="412" ht="15.75" spans="1:7">
      <c r="A412" s="257" t="s">
        <v>179</v>
      </c>
      <c r="B412" s="257"/>
      <c r="C412" s="79">
        <f t="shared" si="9"/>
        <v>0</v>
      </c>
      <c r="D412" s="116"/>
      <c r="E412" s="80"/>
      <c r="F412" s="81"/>
      <c r="G412" s="81"/>
    </row>
    <row r="413" ht="15.75" spans="1:7">
      <c r="A413" s="257" t="s">
        <v>180</v>
      </c>
      <c r="B413" s="257"/>
      <c r="C413" s="79">
        <f t="shared" si="9"/>
        <v>0</v>
      </c>
      <c r="D413" s="116"/>
      <c r="E413" s="80"/>
      <c r="F413" s="81"/>
      <c r="G413" s="81"/>
    </row>
    <row r="414" ht="15.75" spans="1:7">
      <c r="A414" s="257" t="s">
        <v>181</v>
      </c>
      <c r="B414" s="257"/>
      <c r="C414" s="79">
        <f t="shared" si="9"/>
        <v>0</v>
      </c>
      <c r="D414" s="116"/>
      <c r="E414" s="80"/>
      <c r="F414" s="81"/>
      <c r="G414" s="81"/>
    </row>
    <row r="415" ht="15.75" spans="1:7">
      <c r="A415" s="257" t="s">
        <v>182</v>
      </c>
      <c r="B415" s="257"/>
      <c r="C415" s="79">
        <f t="shared" si="9"/>
        <v>0</v>
      </c>
      <c r="D415" s="116"/>
      <c r="E415" s="80"/>
      <c r="F415" s="81"/>
      <c r="G415" s="81"/>
    </row>
    <row r="416" ht="15.75" spans="1:7">
      <c r="A416" s="257" t="s">
        <v>183</v>
      </c>
      <c r="B416" s="257"/>
      <c r="C416" s="79">
        <f t="shared" si="9"/>
        <v>0</v>
      </c>
      <c r="D416" s="116"/>
      <c r="E416" s="80"/>
      <c r="F416" s="81"/>
      <c r="G416" s="81"/>
    </row>
    <row r="417" ht="15.75" spans="1:7">
      <c r="A417" s="257" t="s">
        <v>184</v>
      </c>
      <c r="B417" s="257"/>
      <c r="C417" s="79">
        <f t="shared" si="9"/>
        <v>0</v>
      </c>
      <c r="D417" s="116"/>
      <c r="E417" s="80"/>
      <c r="F417" s="81"/>
      <c r="G417" s="81"/>
    </row>
    <row r="418" ht="15.75" spans="1:7">
      <c r="A418" s="257" t="s">
        <v>185</v>
      </c>
      <c r="B418" s="257"/>
      <c r="C418" s="79">
        <f t="shared" si="9"/>
        <v>0</v>
      </c>
      <c r="D418" s="116"/>
      <c r="E418" s="80"/>
      <c r="F418" s="81"/>
      <c r="G418" s="81"/>
    </row>
    <row r="419" ht="15.75" spans="1:7">
      <c r="A419" s="257" t="s">
        <v>186</v>
      </c>
      <c r="B419" s="257"/>
      <c r="C419" s="79">
        <f t="shared" si="9"/>
        <v>0</v>
      </c>
      <c r="D419" s="116"/>
      <c r="E419" s="80"/>
      <c r="F419" s="81"/>
      <c r="G419" s="81"/>
    </row>
    <row r="420" ht="15.75" spans="1:7">
      <c r="A420" s="257" t="s">
        <v>187</v>
      </c>
      <c r="B420" s="257"/>
      <c r="C420" s="79">
        <f t="shared" si="9"/>
        <v>0</v>
      </c>
      <c r="D420" s="116"/>
      <c r="E420" s="80"/>
      <c r="F420" s="81"/>
      <c r="G420" s="81"/>
    </row>
    <row r="421" ht="15.75" spans="1:7">
      <c r="A421" s="257" t="s">
        <v>188</v>
      </c>
      <c r="B421" s="257"/>
      <c r="C421" s="79">
        <f t="shared" si="9"/>
        <v>0</v>
      </c>
      <c r="D421" s="116"/>
      <c r="E421" s="80"/>
      <c r="F421" s="81"/>
      <c r="G421" s="81"/>
    </row>
    <row r="422" ht="15.75" spans="1:7">
      <c r="A422" s="257" t="s">
        <v>189</v>
      </c>
      <c r="B422" s="257"/>
      <c r="C422" s="79">
        <f t="shared" si="9"/>
        <v>0</v>
      </c>
      <c r="D422" s="116"/>
      <c r="E422" s="80"/>
      <c r="F422" s="81"/>
      <c r="G422" s="81"/>
    </row>
    <row r="423" ht="15.75" spans="1:7">
      <c r="A423" s="257" t="s">
        <v>190</v>
      </c>
      <c r="B423" s="257"/>
      <c r="C423" s="79">
        <f t="shared" si="9"/>
        <v>0</v>
      </c>
      <c r="D423" s="116"/>
      <c r="E423" s="80"/>
      <c r="F423" s="81"/>
      <c r="G423" s="81"/>
    </row>
    <row r="424" ht="15.75" spans="1:7">
      <c r="A424" s="257" t="s">
        <v>191</v>
      </c>
      <c r="B424" s="257"/>
      <c r="C424" s="79">
        <f t="shared" si="9"/>
        <v>0</v>
      </c>
      <c r="D424" s="116"/>
      <c r="E424" s="80"/>
      <c r="F424" s="81"/>
      <c r="G424" s="81"/>
    </row>
    <row r="425" ht="15.75" spans="1:7">
      <c r="A425" s="257" t="s">
        <v>192</v>
      </c>
      <c r="B425" s="257"/>
      <c r="C425" s="79">
        <f t="shared" si="9"/>
        <v>0</v>
      </c>
      <c r="D425" s="116"/>
      <c r="E425" s="80"/>
      <c r="F425" s="81"/>
      <c r="G425" s="81"/>
    </row>
    <row r="426" ht="15.75" spans="1:7">
      <c r="A426" s="257" t="s">
        <v>193</v>
      </c>
      <c r="B426" s="257"/>
      <c r="C426" s="79">
        <f t="shared" si="9"/>
        <v>0</v>
      </c>
      <c r="D426" s="116"/>
      <c r="E426" s="80"/>
      <c r="F426" s="81"/>
      <c r="G426" s="81"/>
    </row>
    <row r="427" ht="15.75" spans="1:7">
      <c r="A427" s="257" t="s">
        <v>194</v>
      </c>
      <c r="B427" s="257"/>
      <c r="C427" s="79">
        <f t="shared" si="9"/>
        <v>0</v>
      </c>
      <c r="D427" s="116"/>
      <c r="E427" s="80"/>
      <c r="F427" s="81"/>
      <c r="G427" s="81"/>
    </row>
    <row r="428" ht="15.75" spans="1:7">
      <c r="A428" s="257" t="s">
        <v>195</v>
      </c>
      <c r="B428" s="257"/>
      <c r="C428" s="79">
        <f t="shared" si="9"/>
        <v>0</v>
      </c>
      <c r="D428" s="116"/>
      <c r="E428" s="80"/>
      <c r="F428" s="81"/>
      <c r="G428" s="81"/>
    </row>
    <row r="429" ht="15.75" spans="1:7">
      <c r="A429" s="257" t="s">
        <v>196</v>
      </c>
      <c r="B429" s="257"/>
      <c r="C429" s="79">
        <f t="shared" si="9"/>
        <v>0</v>
      </c>
      <c r="D429" s="116"/>
      <c r="E429" s="80"/>
      <c r="F429" s="81"/>
      <c r="G429" s="81"/>
    </row>
    <row r="430" ht="15.75" spans="1:7">
      <c r="A430" s="257" t="s">
        <v>197</v>
      </c>
      <c r="B430" s="257"/>
      <c r="C430" s="79">
        <f t="shared" si="9"/>
        <v>0</v>
      </c>
      <c r="D430" s="116"/>
      <c r="E430" s="80"/>
      <c r="F430" s="81"/>
      <c r="G430" s="81"/>
    </row>
    <row r="431" ht="15.75" spans="1:7">
      <c r="A431" s="257" t="s">
        <v>198</v>
      </c>
      <c r="B431" s="257"/>
      <c r="C431" s="79">
        <f t="shared" si="9"/>
        <v>0</v>
      </c>
      <c r="D431" s="116"/>
      <c r="E431" s="80"/>
      <c r="F431" s="81"/>
      <c r="G431" s="81"/>
    </row>
    <row r="432" ht="15.75" spans="1:7">
      <c r="A432" s="257" t="s">
        <v>199</v>
      </c>
      <c r="B432" s="257"/>
      <c r="C432" s="79">
        <f t="shared" si="9"/>
        <v>0</v>
      </c>
      <c r="D432" s="116"/>
      <c r="E432" s="80"/>
      <c r="F432" s="81"/>
      <c r="G432" s="81"/>
    </row>
    <row r="433" ht="15.75" spans="1:7">
      <c r="A433" s="257" t="s">
        <v>200</v>
      </c>
      <c r="B433" s="257"/>
      <c r="C433" s="79">
        <f t="shared" si="9"/>
        <v>0</v>
      </c>
      <c r="D433" s="116"/>
      <c r="E433" s="80"/>
      <c r="F433" s="81"/>
      <c r="G433" s="81"/>
    </row>
    <row r="434" ht="15.75" spans="1:7">
      <c r="A434" s="257" t="s">
        <v>201</v>
      </c>
      <c r="B434" s="257"/>
      <c r="C434" s="79">
        <f t="shared" si="9"/>
        <v>0</v>
      </c>
      <c r="D434" s="116"/>
      <c r="E434" s="80"/>
      <c r="F434" s="81"/>
      <c r="G434" s="81"/>
    </row>
    <row r="435" ht="15.75" spans="1:7">
      <c r="A435" s="257" t="s">
        <v>202</v>
      </c>
      <c r="B435" s="257"/>
      <c r="C435" s="79">
        <f t="shared" si="9"/>
        <v>0</v>
      </c>
      <c r="D435" s="116"/>
      <c r="E435" s="80"/>
      <c r="F435" s="81"/>
      <c r="G435" s="81"/>
    </row>
    <row r="436" ht="15.75" spans="1:7">
      <c r="A436" s="257" t="s">
        <v>203</v>
      </c>
      <c r="B436" s="257"/>
      <c r="C436" s="79">
        <f t="shared" si="9"/>
        <v>0</v>
      </c>
      <c r="D436" s="116"/>
      <c r="E436" s="80"/>
      <c r="F436" s="81"/>
      <c r="G436" s="81"/>
    </row>
    <row r="437" ht="15.75" spans="1:7">
      <c r="A437" s="257" t="s">
        <v>204</v>
      </c>
      <c r="B437" s="257"/>
      <c r="C437" s="79">
        <f t="shared" si="9"/>
        <v>0</v>
      </c>
      <c r="D437" s="116"/>
      <c r="E437" s="80"/>
      <c r="F437" s="81"/>
      <c r="G437" s="81"/>
    </row>
    <row r="438" ht="15.75" spans="1:7">
      <c r="A438" s="257" t="s">
        <v>205</v>
      </c>
      <c r="B438" s="257"/>
      <c r="C438" s="79">
        <f t="shared" si="9"/>
        <v>0</v>
      </c>
      <c r="D438" s="116"/>
      <c r="E438" s="80"/>
      <c r="F438" s="81"/>
      <c r="G438" s="81"/>
    </row>
    <row r="439" ht="15.75" spans="1:7">
      <c r="A439" s="257" t="s">
        <v>206</v>
      </c>
      <c r="B439" s="257"/>
      <c r="C439" s="79">
        <f t="shared" si="9"/>
        <v>0</v>
      </c>
      <c r="D439" s="116"/>
      <c r="E439" s="80"/>
      <c r="F439" s="81"/>
      <c r="G439" s="81"/>
    </row>
    <row r="440" ht="15.75" spans="1:7">
      <c r="A440" s="257" t="s">
        <v>207</v>
      </c>
      <c r="B440" s="257"/>
      <c r="C440" s="79">
        <f t="shared" si="9"/>
        <v>0</v>
      </c>
      <c r="D440" s="116"/>
      <c r="E440" s="80"/>
      <c r="F440" s="81"/>
      <c r="G440" s="81"/>
    </row>
    <row r="441" ht="15.75" spans="1:7">
      <c r="A441" s="257" t="s">
        <v>208</v>
      </c>
      <c r="B441" s="257"/>
      <c r="C441" s="79">
        <f t="shared" si="9"/>
        <v>0</v>
      </c>
      <c r="D441" s="116"/>
      <c r="E441" s="80"/>
      <c r="F441" s="81"/>
      <c r="G441" s="81"/>
    </row>
    <row r="442" ht="15.75" spans="1:7">
      <c r="A442" s="257" t="s">
        <v>209</v>
      </c>
      <c r="B442" s="257"/>
      <c r="C442" s="79">
        <f t="shared" si="9"/>
        <v>0</v>
      </c>
      <c r="D442" s="116"/>
      <c r="E442" s="80"/>
      <c r="F442" s="81"/>
      <c r="G442" s="81"/>
    </row>
    <row r="443" ht="15.75" spans="1:7">
      <c r="A443" s="257" t="s">
        <v>210</v>
      </c>
      <c r="B443" s="257"/>
      <c r="C443" s="79">
        <f t="shared" si="9"/>
        <v>0</v>
      </c>
      <c r="D443" s="116"/>
      <c r="E443" s="80"/>
      <c r="F443" s="81"/>
      <c r="G443" s="81"/>
    </row>
    <row r="444" ht="15.75" spans="1:7">
      <c r="A444" s="257" t="s">
        <v>211</v>
      </c>
      <c r="B444" s="257"/>
      <c r="C444" s="79">
        <f t="shared" si="9"/>
        <v>0</v>
      </c>
      <c r="D444" s="116"/>
      <c r="E444" s="80"/>
      <c r="F444" s="81"/>
      <c r="G444" s="81"/>
    </row>
    <row r="445" ht="15.75" spans="1:7">
      <c r="A445" s="257" t="s">
        <v>212</v>
      </c>
      <c r="B445" s="257"/>
      <c r="C445" s="79">
        <f t="shared" si="9"/>
        <v>0</v>
      </c>
      <c r="D445" s="116"/>
      <c r="E445" s="80"/>
      <c r="F445" s="81"/>
      <c r="G445" s="81"/>
    </row>
    <row r="446" ht="15.75" spans="1:7">
      <c r="A446" s="257" t="s">
        <v>213</v>
      </c>
      <c r="B446" s="257"/>
      <c r="C446" s="79">
        <f t="shared" si="9"/>
        <v>0</v>
      </c>
      <c r="D446" s="116"/>
      <c r="E446" s="80"/>
      <c r="F446" s="81"/>
      <c r="G446" s="81"/>
    </row>
    <row r="447" ht="15.75" spans="1:7">
      <c r="A447" s="257" t="s">
        <v>214</v>
      </c>
      <c r="B447" s="257"/>
      <c r="C447" s="79">
        <f t="shared" si="9"/>
        <v>0</v>
      </c>
      <c r="D447" s="116"/>
      <c r="E447" s="80"/>
      <c r="F447" s="81"/>
      <c r="G447" s="81"/>
    </row>
    <row r="448" ht="15.75" spans="1:7">
      <c r="A448" s="257" t="s">
        <v>215</v>
      </c>
      <c r="B448" s="257"/>
      <c r="C448" s="79">
        <f t="shared" si="9"/>
        <v>0</v>
      </c>
      <c r="D448" s="116"/>
      <c r="E448" s="80"/>
      <c r="F448" s="81"/>
      <c r="G448" s="81"/>
    </row>
    <row r="449" ht="15.75" spans="1:7">
      <c r="A449" s="257" t="s">
        <v>216</v>
      </c>
      <c r="B449" s="257"/>
      <c r="C449" s="79">
        <f t="shared" si="9"/>
        <v>0</v>
      </c>
      <c r="D449" s="116"/>
      <c r="E449" s="80"/>
      <c r="F449" s="81"/>
      <c r="G449" s="81"/>
    </row>
    <row r="450" ht="15.75" spans="1:7">
      <c r="A450" s="257" t="s">
        <v>217</v>
      </c>
      <c r="B450" s="257"/>
      <c r="C450" s="79">
        <f t="shared" si="9"/>
        <v>0</v>
      </c>
      <c r="D450" s="116"/>
      <c r="E450" s="80"/>
      <c r="F450" s="81"/>
      <c r="G450" s="81"/>
    </row>
    <row r="451" ht="15.75" spans="1:7">
      <c r="A451" s="257" t="s">
        <v>218</v>
      </c>
      <c r="B451" s="257"/>
      <c r="C451" s="79">
        <f t="shared" si="9"/>
        <v>0</v>
      </c>
      <c r="D451" s="116"/>
      <c r="E451" s="80"/>
      <c r="F451" s="81"/>
      <c r="G451" s="81"/>
    </row>
    <row r="452" ht="15.75" spans="1:7">
      <c r="A452" s="257" t="s">
        <v>219</v>
      </c>
      <c r="B452" s="257"/>
      <c r="C452" s="79">
        <f t="shared" si="9"/>
        <v>0</v>
      </c>
      <c r="D452" s="116"/>
      <c r="E452" s="80"/>
      <c r="F452" s="81"/>
      <c r="G452" s="81"/>
    </row>
    <row r="453" ht="15.75" spans="1:7">
      <c r="A453" s="257" t="s">
        <v>220</v>
      </c>
      <c r="B453" s="257"/>
      <c r="D453" s="116"/>
      <c r="E453" s="80"/>
      <c r="F453" s="81"/>
      <c r="G453" s="81"/>
    </row>
    <row r="454" ht="15.75" spans="1:7">
      <c r="A454" s="257" t="s">
        <v>221</v>
      </c>
      <c r="B454" s="257"/>
      <c r="D454" s="116"/>
      <c r="E454" s="80"/>
      <c r="F454" s="81"/>
      <c r="G454" s="81"/>
    </row>
    <row r="455" ht="15.75" spans="1:7">
      <c r="A455" s="257" t="s">
        <v>221</v>
      </c>
      <c r="B455" s="257"/>
      <c r="D455" s="260"/>
      <c r="E455" s="72"/>
      <c r="F455" s="73"/>
      <c r="G455" s="84"/>
    </row>
    <row r="456" ht="15.75" spans="1:7">
      <c r="A456" s="257"/>
      <c r="B456" s="257"/>
      <c r="D456" s="116"/>
      <c r="E456" s="261" t="e">
        <f>AVERAGE(E405:E454)</f>
        <v>#DIV/0!</v>
      </c>
      <c r="F456" s="262" t="e">
        <f>AVERAGE(F405:F454)</f>
        <v>#DIV/0!</v>
      </c>
      <c r="G456" s="262"/>
    </row>
    <row r="457" ht="48.75" spans="1:7">
      <c r="A457" s="256" t="s">
        <v>233</v>
      </c>
      <c r="B457" s="257"/>
      <c r="D457" s="116"/>
      <c r="E457" s="263" t="e">
        <f>B462</f>
        <v>#DIV/0!</v>
      </c>
      <c r="F457" s="264" t="e">
        <f>B463</f>
        <v>#DIV/0!</v>
      </c>
      <c r="G457" s="265"/>
    </row>
    <row r="458" ht="48.75" spans="1:7">
      <c r="A458" s="256" t="s">
        <v>224</v>
      </c>
      <c r="B458" s="116"/>
      <c r="D458" s="72"/>
      <c r="E458" s="72"/>
      <c r="F458" s="73"/>
      <c r="G458" s="73"/>
    </row>
    <row r="459" ht="84.75" spans="1:7">
      <c r="A459" s="266" t="s">
        <v>225</v>
      </c>
      <c r="B459" s="116"/>
      <c r="D459" s="72"/>
      <c r="E459" s="72" t="e">
        <f>0.6*E457</f>
        <v>#DIV/0!</v>
      </c>
      <c r="F459" s="73" t="e">
        <f>0.6*F457</f>
        <v>#DIV/0!</v>
      </c>
      <c r="G459" s="73"/>
    </row>
    <row r="462" spans="1:2">
      <c r="A462" s="531" t="s">
        <v>226</v>
      </c>
      <c r="B462" s="95" t="e">
        <f>AVERAGE(B410:B449)</f>
        <v>#DIV/0!</v>
      </c>
    </row>
    <row r="463" spans="1:2">
      <c r="A463" s="531" t="s">
        <v>227</v>
      </c>
      <c r="B463" s="96" t="e">
        <f>AVERAGE(B415:B444)</f>
        <v>#DIV/0!</v>
      </c>
    </row>
    <row r="464" spans="1:2">
      <c r="A464" s="531" t="s">
        <v>228</v>
      </c>
      <c r="B464" s="96" t="e">
        <f>AVERAGE(B421:B439)</f>
        <v>#DIV/0!</v>
      </c>
    </row>
  </sheetData>
  <mergeCells count="14">
    <mergeCell ref="B2:D2"/>
    <mergeCell ref="B69:D69"/>
    <mergeCell ref="B134:D134"/>
    <mergeCell ref="B200:D200"/>
    <mergeCell ref="B266:D266"/>
    <mergeCell ref="B333:D333"/>
    <mergeCell ref="B401:D401"/>
    <mergeCell ref="A2:A4"/>
    <mergeCell ref="A69:A71"/>
    <mergeCell ref="A134:A136"/>
    <mergeCell ref="A200:A202"/>
    <mergeCell ref="A266:A268"/>
    <mergeCell ref="A333:A335"/>
    <mergeCell ref="A401:A403"/>
  </mergeCells>
  <pageMargins left="0.7" right="0.7" top="0.75" bottom="0.75" header="0.3" footer="0.3"/>
  <pageSetup paperSize="9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Лист14">
    <tabColor rgb="FF92D050"/>
  </sheetPr>
  <dimension ref="A1:G464"/>
  <sheetViews>
    <sheetView topLeftCell="A487" workbookViewId="0">
      <selection activeCell="E354" sqref="E353:E354"/>
    </sheetView>
  </sheetViews>
  <sheetFormatPr defaultColWidth="8.72380952380952" defaultRowHeight="15" outlineLevelCol="6"/>
  <cols>
    <col min="3" max="3" width="9.18095238095238"/>
    <col min="5" max="5" width="9.45714285714286" customWidth="1"/>
    <col min="6" max="6" width="8.72380952380952" style="64"/>
    <col min="7" max="7" width="9.45714285714286" style="64" customWidth="1"/>
  </cols>
  <sheetData>
    <row r="1" ht="15.75" spans="4:5">
      <c r="D1" s="65">
        <v>0.1</v>
      </c>
      <c r="E1" s="65">
        <v>0.4</v>
      </c>
    </row>
    <row r="2" ht="23.25" customHeight="1" spans="1:7">
      <c r="A2" s="252" t="s">
        <v>165</v>
      </c>
      <c r="B2" s="67" t="s">
        <v>166</v>
      </c>
      <c r="C2" s="68"/>
      <c r="D2" s="69"/>
      <c r="E2" s="70">
        <f>(1-E57)^(1/3)-1</f>
        <v>-0.0304464956981252</v>
      </c>
      <c r="F2" s="70">
        <f>(1-F57)^(1/3)-1</f>
        <v>-0.0375479488907002</v>
      </c>
      <c r="G2" s="70"/>
    </row>
    <row r="3" ht="72.75" spans="1:7">
      <c r="A3" s="253"/>
      <c r="B3" s="72" t="s">
        <v>167</v>
      </c>
      <c r="C3" s="72"/>
      <c r="D3" s="72" t="s">
        <v>168</v>
      </c>
      <c r="E3" s="72" t="s">
        <v>169</v>
      </c>
      <c r="F3" s="73" t="s">
        <v>169</v>
      </c>
      <c r="G3" s="73"/>
    </row>
    <row r="4" ht="16.5" customHeight="1" spans="1:7">
      <c r="A4" s="254"/>
      <c r="B4" s="72" t="s">
        <v>170</v>
      </c>
      <c r="C4" s="72"/>
      <c r="D4" s="72" t="s">
        <v>171</v>
      </c>
      <c r="E4" s="72" t="s">
        <v>171</v>
      </c>
      <c r="F4" s="73" t="s">
        <v>171</v>
      </c>
      <c r="G4" s="73"/>
    </row>
    <row r="5" spans="1:7">
      <c r="A5" s="75">
        <v>1</v>
      </c>
      <c r="B5" s="76">
        <v>2</v>
      </c>
      <c r="C5" s="76"/>
      <c r="D5" s="76">
        <v>3</v>
      </c>
      <c r="E5" s="76">
        <v>4</v>
      </c>
      <c r="F5" s="77">
        <v>5</v>
      </c>
      <c r="G5" s="77"/>
    </row>
    <row r="6" spans="1:7">
      <c r="A6" s="530" t="s">
        <v>172</v>
      </c>
      <c r="B6" s="79">
        <v>1</v>
      </c>
      <c r="C6" s="79">
        <v>0</v>
      </c>
      <c r="D6" s="80">
        <v>0</v>
      </c>
      <c r="E6" s="80">
        <v>0</v>
      </c>
      <c r="F6" s="81">
        <v>0</v>
      </c>
      <c r="G6" s="81">
        <v>0</v>
      </c>
    </row>
    <row r="7" spans="1:7">
      <c r="A7" s="530" t="s">
        <v>173</v>
      </c>
      <c r="B7" s="137">
        <v>1.7</v>
      </c>
      <c r="C7" s="79">
        <f>B6</f>
        <v>1</v>
      </c>
      <c r="D7" s="80">
        <v>0</v>
      </c>
      <c r="E7" s="80">
        <v>0</v>
      </c>
      <c r="F7" s="81">
        <v>0</v>
      </c>
      <c r="G7" s="81">
        <v>0</v>
      </c>
    </row>
    <row r="8" spans="1:7">
      <c r="A8" s="530" t="s">
        <v>174</v>
      </c>
      <c r="B8" s="79">
        <v>2</v>
      </c>
      <c r="C8" s="79">
        <f t="shared" ref="C8:C56" si="0">B7</f>
        <v>1.7</v>
      </c>
      <c r="D8" s="80">
        <v>0</v>
      </c>
      <c r="E8" s="80">
        <v>0</v>
      </c>
      <c r="F8" s="81">
        <v>0</v>
      </c>
      <c r="G8" s="81">
        <v>0</v>
      </c>
    </row>
    <row r="9" spans="1:7">
      <c r="A9" s="530" t="s">
        <v>175</v>
      </c>
      <c r="B9" s="137">
        <v>2.3</v>
      </c>
      <c r="C9" s="79">
        <f t="shared" si="0"/>
        <v>2</v>
      </c>
      <c r="D9" s="80">
        <v>0</v>
      </c>
      <c r="E9" s="80">
        <v>0</v>
      </c>
      <c r="F9" s="81">
        <v>0</v>
      </c>
      <c r="G9" s="81">
        <v>0</v>
      </c>
    </row>
    <row r="10" spans="1:7">
      <c r="A10" s="530" t="s">
        <v>176</v>
      </c>
      <c r="B10" s="137">
        <v>2.6</v>
      </c>
      <c r="C10" s="79">
        <f t="shared" si="0"/>
        <v>2.3</v>
      </c>
      <c r="D10" s="80">
        <v>0</v>
      </c>
      <c r="E10" s="80">
        <v>0</v>
      </c>
      <c r="F10" s="81">
        <v>0</v>
      </c>
      <c r="G10" s="81">
        <v>0</v>
      </c>
    </row>
    <row r="11" spans="1:7">
      <c r="A11" s="530" t="s">
        <v>177</v>
      </c>
      <c r="B11" s="137">
        <v>2.9</v>
      </c>
      <c r="C11" s="79">
        <f t="shared" si="0"/>
        <v>2.6</v>
      </c>
      <c r="D11" s="80">
        <v>0</v>
      </c>
      <c r="E11" s="80">
        <v>0</v>
      </c>
      <c r="F11" s="81">
        <v>0</v>
      </c>
      <c r="G11" s="81">
        <v>0</v>
      </c>
    </row>
    <row r="12" spans="1:7">
      <c r="A12" s="530" t="s">
        <v>178</v>
      </c>
      <c r="B12" s="137">
        <v>3.2</v>
      </c>
      <c r="C12" s="79">
        <f t="shared" si="0"/>
        <v>2.9</v>
      </c>
      <c r="D12" s="80">
        <v>0</v>
      </c>
      <c r="E12" s="80">
        <v>0</v>
      </c>
      <c r="F12" s="81">
        <v>0</v>
      </c>
      <c r="G12" s="81">
        <v>0</v>
      </c>
    </row>
    <row r="13" spans="1:7">
      <c r="A13" s="78" t="s">
        <v>179</v>
      </c>
      <c r="B13" s="137">
        <v>3.4</v>
      </c>
      <c r="C13" s="79">
        <f t="shared" si="0"/>
        <v>3.2</v>
      </c>
      <c r="D13" s="80">
        <v>0</v>
      </c>
      <c r="E13" s="80">
        <v>0</v>
      </c>
      <c r="F13" s="81">
        <v>0</v>
      </c>
      <c r="G13" s="81">
        <v>0</v>
      </c>
    </row>
    <row r="14" spans="1:7">
      <c r="A14" s="78" t="s">
        <v>180</v>
      </c>
      <c r="B14" s="137">
        <v>3.7</v>
      </c>
      <c r="C14" s="79">
        <f t="shared" si="0"/>
        <v>3.4</v>
      </c>
      <c r="D14" s="80">
        <v>0</v>
      </c>
      <c r="E14" s="80">
        <v>0</v>
      </c>
      <c r="F14" s="81">
        <v>0</v>
      </c>
      <c r="G14" s="81">
        <v>0</v>
      </c>
    </row>
    <row r="15" spans="1:7">
      <c r="A15" s="78" t="s">
        <v>181</v>
      </c>
      <c r="B15" s="79">
        <v>4</v>
      </c>
      <c r="C15" s="79">
        <f t="shared" si="0"/>
        <v>3.7</v>
      </c>
      <c r="D15" s="80">
        <v>0</v>
      </c>
      <c r="E15" s="80">
        <v>0</v>
      </c>
      <c r="F15" s="81">
        <v>0</v>
      </c>
      <c r="G15" s="81">
        <v>0</v>
      </c>
    </row>
    <row r="16" spans="1:7">
      <c r="A16" s="78" t="s">
        <v>182</v>
      </c>
      <c r="B16" s="137">
        <v>4.3</v>
      </c>
      <c r="C16" s="79">
        <f t="shared" si="0"/>
        <v>4</v>
      </c>
      <c r="D16" s="80">
        <v>0</v>
      </c>
      <c r="E16" s="80">
        <v>0</v>
      </c>
      <c r="F16" s="81">
        <v>0</v>
      </c>
      <c r="G16" s="81">
        <v>0</v>
      </c>
    </row>
    <row r="17" spans="1:7">
      <c r="A17" s="78" t="s">
        <v>183</v>
      </c>
      <c r="B17" s="137">
        <v>4.5</v>
      </c>
      <c r="C17" s="79">
        <f t="shared" si="0"/>
        <v>4.3</v>
      </c>
      <c r="D17" s="80">
        <v>0</v>
      </c>
      <c r="E17" s="80">
        <v>0</v>
      </c>
      <c r="F17" s="81">
        <v>0</v>
      </c>
      <c r="G17" s="81">
        <v>0</v>
      </c>
    </row>
    <row r="18" spans="1:7">
      <c r="A18" s="78" t="s">
        <v>184</v>
      </c>
      <c r="B18" s="137">
        <v>4.8</v>
      </c>
      <c r="C18" s="79">
        <f t="shared" si="0"/>
        <v>4.5</v>
      </c>
      <c r="D18" s="80">
        <v>0</v>
      </c>
      <c r="E18" s="80">
        <v>0</v>
      </c>
      <c r="F18" s="81">
        <v>0</v>
      </c>
      <c r="G18" s="81">
        <v>0</v>
      </c>
    </row>
    <row r="19" spans="1:7">
      <c r="A19" s="78" t="s">
        <v>185</v>
      </c>
      <c r="B19" s="137">
        <v>5.1</v>
      </c>
      <c r="C19" s="79">
        <f t="shared" si="0"/>
        <v>4.8</v>
      </c>
      <c r="D19" s="80">
        <v>0</v>
      </c>
      <c r="E19" s="80">
        <v>0</v>
      </c>
      <c r="F19" s="81">
        <v>0</v>
      </c>
      <c r="G19" s="81">
        <v>0</v>
      </c>
    </row>
    <row r="20" spans="1:7">
      <c r="A20" s="78" t="s">
        <v>186</v>
      </c>
      <c r="B20" s="137">
        <v>5.5</v>
      </c>
      <c r="C20" s="79">
        <f t="shared" si="0"/>
        <v>5.1</v>
      </c>
      <c r="D20" s="80">
        <v>0</v>
      </c>
      <c r="E20" s="80">
        <v>0</v>
      </c>
      <c r="F20" s="81">
        <v>0</v>
      </c>
      <c r="G20" s="81">
        <v>0</v>
      </c>
    </row>
    <row r="21" spans="1:7">
      <c r="A21" s="78" t="s">
        <v>187</v>
      </c>
      <c r="B21" s="137">
        <v>5.8</v>
      </c>
      <c r="C21" s="79">
        <f t="shared" si="0"/>
        <v>5.5</v>
      </c>
      <c r="D21" s="80">
        <v>0</v>
      </c>
      <c r="E21" s="80">
        <v>0</v>
      </c>
      <c r="F21" s="81">
        <v>0</v>
      </c>
      <c r="G21" s="81">
        <v>0</v>
      </c>
    </row>
    <row r="22" spans="1:7">
      <c r="A22" s="78" t="s">
        <v>188</v>
      </c>
      <c r="B22" s="137">
        <v>6.2</v>
      </c>
      <c r="C22" s="79">
        <f t="shared" si="0"/>
        <v>5.8</v>
      </c>
      <c r="D22" s="80">
        <v>0</v>
      </c>
      <c r="E22" s="80">
        <v>0</v>
      </c>
      <c r="F22" s="81">
        <v>0</v>
      </c>
      <c r="G22" s="81">
        <v>0</v>
      </c>
    </row>
    <row r="23" spans="1:7">
      <c r="A23" s="78" t="s">
        <v>189</v>
      </c>
      <c r="B23" s="137">
        <v>6.5</v>
      </c>
      <c r="C23" s="79">
        <f t="shared" si="0"/>
        <v>6.2</v>
      </c>
      <c r="D23" s="80">
        <v>0</v>
      </c>
      <c r="E23" s="80">
        <v>0</v>
      </c>
      <c r="F23" s="81">
        <v>0</v>
      </c>
      <c r="G23" s="81">
        <v>0</v>
      </c>
    </row>
    <row r="24" spans="1:7">
      <c r="A24" s="78" t="s">
        <v>190</v>
      </c>
      <c r="B24" s="79">
        <v>6.9</v>
      </c>
      <c r="C24" s="79">
        <f t="shared" si="0"/>
        <v>6.5</v>
      </c>
      <c r="D24" s="80">
        <v>0</v>
      </c>
      <c r="E24" s="80">
        <v>0</v>
      </c>
      <c r="F24" s="81">
        <v>0</v>
      </c>
      <c r="G24" s="81">
        <v>0</v>
      </c>
    </row>
    <row r="25" spans="1:7">
      <c r="A25" s="78" t="s">
        <v>191</v>
      </c>
      <c r="B25" s="137">
        <v>7.3</v>
      </c>
      <c r="C25" s="79">
        <f t="shared" si="0"/>
        <v>6.9</v>
      </c>
      <c r="D25" s="80">
        <v>0</v>
      </c>
      <c r="E25" s="80">
        <v>0</v>
      </c>
      <c r="F25" s="81">
        <v>0.00189041095890412</v>
      </c>
      <c r="G25" s="81">
        <v>0</v>
      </c>
    </row>
    <row r="26" spans="1:7">
      <c r="A26" s="78" t="s">
        <v>192</v>
      </c>
      <c r="B26" s="137">
        <v>7.8</v>
      </c>
      <c r="C26" s="79">
        <f t="shared" si="0"/>
        <v>7.3</v>
      </c>
      <c r="D26" s="80">
        <v>0</v>
      </c>
      <c r="E26" s="80">
        <v>0</v>
      </c>
      <c r="F26" s="81">
        <v>0.00817948717948719</v>
      </c>
      <c r="G26" s="81">
        <v>0</v>
      </c>
    </row>
    <row r="27" spans="1:7">
      <c r="A27" s="78" t="s">
        <v>193</v>
      </c>
      <c r="B27" s="137">
        <v>8.2</v>
      </c>
      <c r="C27" s="79">
        <f t="shared" si="0"/>
        <v>7.8</v>
      </c>
      <c r="D27" s="80">
        <v>0</v>
      </c>
      <c r="E27" s="80">
        <v>0</v>
      </c>
      <c r="F27" s="81">
        <v>0.0126585365853659</v>
      </c>
      <c r="G27" s="81">
        <v>0</v>
      </c>
    </row>
    <row r="28" spans="1:7">
      <c r="A28" s="78" t="s">
        <v>194</v>
      </c>
      <c r="B28" s="137">
        <v>8.6</v>
      </c>
      <c r="C28" s="79">
        <f t="shared" si="0"/>
        <v>8.2</v>
      </c>
      <c r="D28" s="80">
        <v>0</v>
      </c>
      <c r="E28" s="80">
        <v>0</v>
      </c>
      <c r="F28" s="81">
        <v>0.0167209302325581</v>
      </c>
      <c r="G28" s="81">
        <v>0</v>
      </c>
    </row>
    <row r="29" spans="1:7">
      <c r="A29" s="78" t="s">
        <v>195</v>
      </c>
      <c r="B29" s="137">
        <v>9.1</v>
      </c>
      <c r="C29" s="79">
        <f t="shared" si="0"/>
        <v>8.6</v>
      </c>
      <c r="D29" s="80">
        <v>0</v>
      </c>
      <c r="E29" s="80">
        <v>0</v>
      </c>
      <c r="F29" s="81">
        <v>0.0212967032967033</v>
      </c>
      <c r="G29" s="81">
        <v>0</v>
      </c>
    </row>
    <row r="30" spans="1:7">
      <c r="A30" s="78" t="s">
        <v>196</v>
      </c>
      <c r="B30" s="137">
        <v>9.5</v>
      </c>
      <c r="C30" s="79">
        <f t="shared" si="0"/>
        <v>9.1</v>
      </c>
      <c r="D30" s="80">
        <v>0.0257894736842108</v>
      </c>
      <c r="E30" s="80"/>
      <c r="F30" s="81">
        <v>0.0246105263157895</v>
      </c>
      <c r="G30" s="81">
        <v>0</v>
      </c>
    </row>
    <row r="31" spans="1:7">
      <c r="A31" s="78" t="s">
        <v>197</v>
      </c>
      <c r="B31" s="79">
        <v>10</v>
      </c>
      <c r="C31" s="79">
        <f t="shared" si="0"/>
        <v>9.5</v>
      </c>
      <c r="D31" s="80">
        <v>0.0745000000000003</v>
      </c>
      <c r="E31" s="80"/>
      <c r="F31" s="81">
        <v>0.02838</v>
      </c>
      <c r="G31" s="81">
        <v>0</v>
      </c>
    </row>
    <row r="32" spans="1:7">
      <c r="A32" s="78" t="s">
        <v>198</v>
      </c>
      <c r="B32" s="137">
        <v>10.6</v>
      </c>
      <c r="C32" s="79">
        <f t="shared" si="0"/>
        <v>10</v>
      </c>
      <c r="D32" s="80">
        <v>0.12688679245283</v>
      </c>
      <c r="E32" s="80">
        <v>0.012688679245283</v>
      </c>
      <c r="F32" s="81">
        <v>0.032433962264151</v>
      </c>
      <c r="G32" s="81">
        <v>0</v>
      </c>
    </row>
    <row r="33" spans="1:7">
      <c r="A33" s="78" t="s">
        <v>199</v>
      </c>
      <c r="B33" s="137">
        <v>11.3</v>
      </c>
      <c r="C33" s="79">
        <f t="shared" si="0"/>
        <v>10.6</v>
      </c>
      <c r="D33" s="80">
        <v>0.180973451327434</v>
      </c>
      <c r="E33" s="80">
        <v>0.0180973451327434</v>
      </c>
      <c r="F33" s="81">
        <v>0.0366194690265487</v>
      </c>
      <c r="G33" s="81">
        <v>0</v>
      </c>
    </row>
    <row r="34" spans="1:7">
      <c r="A34" s="78" t="s">
        <v>200</v>
      </c>
      <c r="B34" s="137">
        <v>12.2</v>
      </c>
      <c r="C34" s="79">
        <f t="shared" si="0"/>
        <v>11.3</v>
      </c>
      <c r="D34" s="80">
        <v>0.241393442622951</v>
      </c>
      <c r="E34" s="80">
        <v>0.0241393442622951</v>
      </c>
      <c r="F34" s="81">
        <v>0.0477704918032787</v>
      </c>
      <c r="G34" s="81">
        <v>0.00163934426229508</v>
      </c>
    </row>
    <row r="35" spans="1:7">
      <c r="A35" s="78" t="s">
        <v>201</v>
      </c>
      <c r="B35" s="137">
        <v>12.9</v>
      </c>
      <c r="C35" s="79">
        <f t="shared" si="0"/>
        <v>12.2</v>
      </c>
      <c r="D35" s="80">
        <v>0.282558139534884</v>
      </c>
      <c r="E35" s="80">
        <v>0.0282558139534884</v>
      </c>
      <c r="F35" s="81">
        <v>0.0668837209302326</v>
      </c>
      <c r="G35" s="81">
        <v>0.00697674418604651</v>
      </c>
    </row>
    <row r="36" spans="1:7">
      <c r="A36" s="78" t="s">
        <v>202</v>
      </c>
      <c r="B36" s="137">
        <v>13.8</v>
      </c>
      <c r="C36" s="79">
        <f t="shared" si="0"/>
        <v>12.9</v>
      </c>
      <c r="D36" s="80">
        <v>0.329347826086957</v>
      </c>
      <c r="E36" s="80">
        <v>0.0329347826086957</v>
      </c>
      <c r="F36" s="81">
        <v>0.088608695652174</v>
      </c>
      <c r="G36" s="81">
        <v>0.0130434782608696</v>
      </c>
    </row>
    <row r="37" spans="1:7">
      <c r="A37" s="78" t="s">
        <v>203</v>
      </c>
      <c r="B37" s="137">
        <v>14.7</v>
      </c>
      <c r="C37" s="79">
        <f t="shared" si="0"/>
        <v>13.8</v>
      </c>
      <c r="D37" s="80">
        <v>0.370408163265306</v>
      </c>
      <c r="E37" s="80">
        <v>0.0370408163265306</v>
      </c>
      <c r="F37" s="81">
        <v>0.107673469387755</v>
      </c>
      <c r="G37" s="81">
        <v>0.0183673469387755</v>
      </c>
    </row>
    <row r="38" spans="1:7">
      <c r="A38" s="78" t="s">
        <v>204</v>
      </c>
      <c r="B38" s="137">
        <v>15.8</v>
      </c>
      <c r="C38" s="79">
        <f t="shared" si="0"/>
        <v>14.7</v>
      </c>
      <c r="D38" s="80">
        <v>0.414240506329114</v>
      </c>
      <c r="E38" s="80">
        <v>0.0485443037974684</v>
      </c>
      <c r="F38" s="81">
        <v>0.128025316455696</v>
      </c>
      <c r="G38" s="81">
        <v>0.0240506329113924</v>
      </c>
    </row>
    <row r="39" spans="1:7">
      <c r="A39" s="78" t="s">
        <v>205</v>
      </c>
      <c r="B39" s="137">
        <v>17.2</v>
      </c>
      <c r="C39" s="79">
        <f t="shared" si="0"/>
        <v>15.8</v>
      </c>
      <c r="D39" s="80">
        <v>0.461918604651163</v>
      </c>
      <c r="E39" s="80">
        <v>0.0771511627906977</v>
      </c>
      <c r="F39" s="81">
        <v>0.150162790697674</v>
      </c>
      <c r="G39" s="81">
        <v>0.0302325581395349</v>
      </c>
    </row>
    <row r="40" spans="1:7">
      <c r="A40" s="78" t="s">
        <v>206</v>
      </c>
      <c r="B40" s="137">
        <v>18.5</v>
      </c>
      <c r="C40" s="79">
        <f t="shared" si="0"/>
        <v>17.2</v>
      </c>
      <c r="D40" s="80">
        <v>0.49972972972973</v>
      </c>
      <c r="E40" s="80">
        <v>0.0998378378378379</v>
      </c>
      <c r="F40" s="81">
        <v>0.167718918918919</v>
      </c>
      <c r="G40" s="81">
        <v>0.0351351351351351</v>
      </c>
    </row>
    <row r="41" spans="1:7">
      <c r="A41" s="78" t="s">
        <v>207</v>
      </c>
      <c r="B41" s="137">
        <v>20.2</v>
      </c>
      <c r="C41" s="79">
        <f t="shared" si="0"/>
        <v>18.5</v>
      </c>
      <c r="D41" s="80">
        <v>0.541831683168317</v>
      </c>
      <c r="E41" s="80">
        <v>0.12509900990099</v>
      </c>
      <c r="F41" s="81">
        <v>0.187267326732673</v>
      </c>
      <c r="G41" s="81">
        <v>0.0435643564356436</v>
      </c>
    </row>
    <row r="42" spans="1:7">
      <c r="A42" s="78" t="s">
        <v>208</v>
      </c>
      <c r="B42" s="137">
        <v>21.9</v>
      </c>
      <c r="C42" s="79">
        <f t="shared" si="0"/>
        <v>20.2</v>
      </c>
      <c r="D42" s="80">
        <v>0.577397260273973</v>
      </c>
      <c r="E42" s="80">
        <v>0.146438356164384</v>
      </c>
      <c r="F42" s="81">
        <v>0.203780821917808</v>
      </c>
      <c r="G42" s="81">
        <v>0.0712328767123288</v>
      </c>
    </row>
    <row r="43" spans="1:7">
      <c r="A43" s="78" t="s">
        <v>209</v>
      </c>
      <c r="B43" s="137">
        <v>23.8</v>
      </c>
      <c r="C43" s="79">
        <f t="shared" si="0"/>
        <v>21.9</v>
      </c>
      <c r="D43" s="80">
        <v>0.611134453781513</v>
      </c>
      <c r="E43" s="80">
        <v>0.166680672268908</v>
      </c>
      <c r="F43" s="81">
        <v>0.219445378151261</v>
      </c>
      <c r="G43" s="81">
        <v>0.0974789915966387</v>
      </c>
    </row>
    <row r="44" spans="1:7">
      <c r="A44" s="78" t="s">
        <v>210</v>
      </c>
      <c r="B44" s="137">
        <v>26.2</v>
      </c>
      <c r="C44" s="79">
        <f t="shared" si="0"/>
        <v>23.8</v>
      </c>
      <c r="D44" s="80">
        <v>0.64675572519084</v>
      </c>
      <c r="E44" s="80">
        <v>0.188053435114504</v>
      </c>
      <c r="F44" s="81">
        <v>0.235984732824428</v>
      </c>
      <c r="G44" s="81">
        <v>0.125190839694656</v>
      </c>
    </row>
    <row r="45" spans="1:7">
      <c r="A45" s="78" t="s">
        <v>211</v>
      </c>
      <c r="B45" s="137">
        <v>28.9</v>
      </c>
      <c r="C45" s="79">
        <f t="shared" si="0"/>
        <v>26.2</v>
      </c>
      <c r="D45" s="80">
        <v>0.679757785467128</v>
      </c>
      <c r="E45" s="80">
        <v>0.207854671280277</v>
      </c>
      <c r="F45" s="81">
        <v>0.251307958477509</v>
      </c>
      <c r="G45" s="81">
        <v>0.150865051903114</v>
      </c>
    </row>
    <row r="46" spans="1:7">
      <c r="A46" s="78" t="s">
        <v>212</v>
      </c>
      <c r="B46" s="79">
        <v>33</v>
      </c>
      <c r="C46" s="79">
        <f t="shared" si="0"/>
        <v>28.9</v>
      </c>
      <c r="D46" s="80">
        <v>0.719545454545455</v>
      </c>
      <c r="E46" s="80">
        <v>0.231727272727273</v>
      </c>
      <c r="F46" s="81">
        <v>0.269781818181818</v>
      </c>
      <c r="G46" s="81">
        <v>0.181818181818182</v>
      </c>
    </row>
    <row r="47" spans="1:7">
      <c r="A47" s="78" t="s">
        <v>213</v>
      </c>
      <c r="B47" s="79">
        <v>38</v>
      </c>
      <c r="C47" s="79">
        <f t="shared" si="0"/>
        <v>33</v>
      </c>
      <c r="D47" s="80">
        <v>0.756447368421053</v>
      </c>
      <c r="E47" s="80">
        <v>0.253868421052632</v>
      </c>
      <c r="F47" s="81">
        <v>0.286915789473684</v>
      </c>
      <c r="G47" s="81">
        <v>0.210526315789474</v>
      </c>
    </row>
    <row r="48" spans="1:7">
      <c r="A48" s="78" t="s">
        <v>214</v>
      </c>
      <c r="B48" s="137">
        <v>45.5</v>
      </c>
      <c r="C48" s="79">
        <f t="shared" si="0"/>
        <v>38</v>
      </c>
      <c r="D48" s="80">
        <v>0.796593406593407</v>
      </c>
      <c r="E48" s="80">
        <v>0.277956043956044</v>
      </c>
      <c r="F48" s="81">
        <v>0.305556043956044</v>
      </c>
      <c r="G48" s="81">
        <v>0.241758241758242</v>
      </c>
    </row>
    <row r="49" spans="1:7">
      <c r="A49" s="78" t="s">
        <v>215</v>
      </c>
      <c r="B49" s="137">
        <v>55.4</v>
      </c>
      <c r="C49" s="79">
        <f t="shared" si="0"/>
        <v>45.5</v>
      </c>
      <c r="D49" s="80">
        <v>0.832942238267148</v>
      </c>
      <c r="E49" s="80">
        <v>0.299765342960289</v>
      </c>
      <c r="F49" s="81">
        <v>0.32243321299639</v>
      </c>
      <c r="G49" s="81">
        <v>0.270036101083032</v>
      </c>
    </row>
    <row r="50" spans="1:7">
      <c r="A50" s="78" t="s">
        <v>216</v>
      </c>
      <c r="B50" s="137">
        <v>69.8</v>
      </c>
      <c r="C50" s="79">
        <f t="shared" si="0"/>
        <v>55.4</v>
      </c>
      <c r="D50" s="80">
        <v>0.867406876790831</v>
      </c>
      <c r="E50" s="80">
        <v>0.320444126074499</v>
      </c>
      <c r="F50" s="81">
        <v>0.33843553008596</v>
      </c>
      <c r="G50" s="81">
        <v>0.296848137535817</v>
      </c>
    </row>
    <row r="51" spans="1:7">
      <c r="A51" s="78" t="s">
        <v>217</v>
      </c>
      <c r="B51" s="137">
        <v>93.2</v>
      </c>
      <c r="C51" s="79">
        <f t="shared" si="0"/>
        <v>69.8</v>
      </c>
      <c r="D51" s="80">
        <v>0.900697424892704</v>
      </c>
      <c r="E51" s="80">
        <v>0.340418454935622</v>
      </c>
      <c r="F51" s="81">
        <v>0.353892703862661</v>
      </c>
      <c r="G51" s="81">
        <v>0.32274678111588</v>
      </c>
    </row>
    <row r="52" spans="1:7">
      <c r="A52" s="78" t="s">
        <v>218</v>
      </c>
      <c r="B52" s="137">
        <v>127.4</v>
      </c>
      <c r="C52" s="79">
        <f t="shared" si="0"/>
        <v>93.2</v>
      </c>
      <c r="D52" s="80">
        <v>0.927354788069074</v>
      </c>
      <c r="E52" s="80">
        <v>0.356412872841444</v>
      </c>
      <c r="F52" s="81">
        <v>0.366270015698587</v>
      </c>
      <c r="G52" s="81">
        <v>0.343485086342229</v>
      </c>
    </row>
    <row r="53" spans="1:7">
      <c r="A53" s="78" t="s">
        <v>219</v>
      </c>
      <c r="B53" s="137">
        <v>174.8</v>
      </c>
      <c r="C53" s="79">
        <f t="shared" si="0"/>
        <v>127.4</v>
      </c>
      <c r="D53" s="80">
        <v>0.947053775743707</v>
      </c>
      <c r="E53" s="80">
        <v>0.368232265446224</v>
      </c>
      <c r="F53" s="81">
        <v>0.37541647597254</v>
      </c>
      <c r="G53" s="81">
        <v>0.358810068649886</v>
      </c>
    </row>
    <row r="54" spans="1:7">
      <c r="A54" s="78" t="s">
        <v>220</v>
      </c>
      <c r="B54" s="137">
        <v>231.2</v>
      </c>
      <c r="C54" s="79">
        <f t="shared" si="0"/>
        <v>174.8</v>
      </c>
      <c r="D54" s="80">
        <v>0.959969723183391</v>
      </c>
      <c r="E54" s="80">
        <v>0.375981833910035</v>
      </c>
      <c r="F54" s="81">
        <v>0.381413494809689</v>
      </c>
      <c r="G54" s="81">
        <v>0.368858131487889</v>
      </c>
    </row>
    <row r="55" spans="1:7">
      <c r="A55" s="78" t="s">
        <v>221</v>
      </c>
      <c r="B55" s="137">
        <v>303.2</v>
      </c>
      <c r="C55" s="79">
        <f t="shared" si="0"/>
        <v>231.2</v>
      </c>
      <c r="D55" s="80">
        <v>0.969475593667546</v>
      </c>
      <c r="E55" s="80">
        <v>0.381685356200528</v>
      </c>
      <c r="F55" s="81">
        <v>0.385827176781003</v>
      </c>
      <c r="G55" s="81">
        <v>0.376253298153034</v>
      </c>
    </row>
    <row r="56" spans="1:7">
      <c r="A56" s="78" t="s">
        <v>221</v>
      </c>
      <c r="B56" s="82" t="s">
        <v>390</v>
      </c>
      <c r="C56" s="79">
        <f t="shared" si="0"/>
        <v>303.2</v>
      </c>
      <c r="D56" s="83">
        <v>49.1</v>
      </c>
      <c r="E56" s="83"/>
      <c r="F56" s="84"/>
      <c r="G56" s="84"/>
    </row>
    <row r="57" spans="1:7">
      <c r="A57" s="78"/>
      <c r="B57" s="82"/>
      <c r="C57" s="82"/>
      <c r="D57" s="83"/>
      <c r="E57" s="85">
        <v>0.0885867433631422</v>
      </c>
      <c r="F57" s="86">
        <v>0.108467238192546</v>
      </c>
      <c r="G57" s="86">
        <v>0.0717783539982019</v>
      </c>
    </row>
    <row r="58" ht="48" spans="1:7">
      <c r="A58" s="87" t="s">
        <v>233</v>
      </c>
      <c r="B58" s="82">
        <v>20</v>
      </c>
      <c r="C58" s="82"/>
      <c r="D58" s="83"/>
      <c r="E58" s="127">
        <v>15.425</v>
      </c>
      <c r="F58" s="128">
        <v>11.9366666666667</v>
      </c>
      <c r="G58" s="129">
        <v>20</v>
      </c>
    </row>
    <row r="59" ht="48" spans="1:7">
      <c r="A59" s="87" t="s">
        <v>224</v>
      </c>
      <c r="B59" s="82">
        <v>29.7</v>
      </c>
      <c r="C59" s="82"/>
      <c r="D59" s="83"/>
      <c r="E59" s="83"/>
      <c r="F59" s="84"/>
      <c r="G59" s="84"/>
    </row>
    <row r="60" ht="84" spans="1:7">
      <c r="A60" s="106" t="s">
        <v>225</v>
      </c>
      <c r="B60" s="78">
        <v>12</v>
      </c>
      <c r="C60" s="78"/>
      <c r="D60" s="83"/>
      <c r="E60" s="83">
        <v>9.255</v>
      </c>
      <c r="F60" s="84">
        <v>7.162</v>
      </c>
      <c r="G60" s="84">
        <v>12</v>
      </c>
    </row>
    <row r="62" ht="48.75" spans="1:2">
      <c r="A62" s="256" t="s">
        <v>224</v>
      </c>
      <c r="B62">
        <f>B59</f>
        <v>29.7</v>
      </c>
    </row>
    <row r="63" spans="1:3">
      <c r="A63" s="531" t="s">
        <v>226</v>
      </c>
      <c r="B63" s="95">
        <f>AVERAGE(B11:B50)</f>
        <v>15.425</v>
      </c>
      <c r="C63" s="95"/>
    </row>
    <row r="64" spans="1:3">
      <c r="A64" s="531" t="s">
        <v>227</v>
      </c>
      <c r="B64" s="96">
        <f>AVERAGE(B16:B45)</f>
        <v>11.9366666666667</v>
      </c>
      <c r="C64" s="96"/>
    </row>
    <row r="65" spans="1:3">
      <c r="A65" s="531" t="s">
        <v>228</v>
      </c>
      <c r="B65" s="96">
        <f>AVERAGE(B22:B40)</f>
        <v>10.9</v>
      </c>
      <c r="C65" s="96"/>
    </row>
    <row r="69" customHeight="1" spans="1:7">
      <c r="A69" s="83" t="s">
        <v>165</v>
      </c>
      <c r="B69" s="83" t="s">
        <v>229</v>
      </c>
      <c r="C69" s="83"/>
      <c r="D69" s="83"/>
      <c r="E69" s="98">
        <f>(1-E124)^(1/3)-1</f>
        <v>-0.0252643250928822</v>
      </c>
      <c r="F69" s="98">
        <f>(1-F124)^(1/3)-1</f>
        <v>-0.0267585406651963</v>
      </c>
      <c r="G69" s="98"/>
    </row>
    <row r="70" ht="72" spans="1:7">
      <c r="A70" s="83"/>
      <c r="B70" s="83" t="s">
        <v>167</v>
      </c>
      <c r="C70" s="83"/>
      <c r="D70" s="83" t="s">
        <v>168</v>
      </c>
      <c r="E70" s="83" t="s">
        <v>169</v>
      </c>
      <c r="F70" s="84" t="s">
        <v>169</v>
      </c>
      <c r="G70" s="84"/>
    </row>
    <row r="71" ht="24" spans="1:7">
      <c r="A71" s="83"/>
      <c r="B71" s="83" t="s">
        <v>230</v>
      </c>
      <c r="C71" s="83"/>
      <c r="D71" s="83" t="s">
        <v>171</v>
      </c>
      <c r="E71" s="83" t="s">
        <v>171</v>
      </c>
      <c r="F71" s="84" t="s">
        <v>171</v>
      </c>
      <c r="G71" s="84"/>
    </row>
    <row r="72" spans="1:7">
      <c r="A72" s="75">
        <v>1</v>
      </c>
      <c r="B72" s="76">
        <v>2</v>
      </c>
      <c r="C72" s="76"/>
      <c r="D72" s="76">
        <v>3</v>
      </c>
      <c r="E72" s="76">
        <v>4</v>
      </c>
      <c r="F72" s="77">
        <v>5</v>
      </c>
      <c r="G72" s="77"/>
    </row>
    <row r="73" spans="1:7">
      <c r="A73" s="530" t="s">
        <v>172</v>
      </c>
      <c r="B73" s="101">
        <v>8</v>
      </c>
      <c r="C73" s="102">
        <v>0</v>
      </c>
      <c r="D73" s="80">
        <v>0</v>
      </c>
      <c r="E73" s="80">
        <v>0</v>
      </c>
      <c r="F73" s="81">
        <v>0</v>
      </c>
      <c r="G73" s="81">
        <v>0</v>
      </c>
    </row>
    <row r="74" spans="1:7">
      <c r="A74" s="530" t="s">
        <v>173</v>
      </c>
      <c r="B74" s="138">
        <v>16.6</v>
      </c>
      <c r="C74" s="79">
        <f>B73</f>
        <v>8</v>
      </c>
      <c r="D74" s="80">
        <v>0</v>
      </c>
      <c r="E74" s="80">
        <v>0</v>
      </c>
      <c r="F74" s="81">
        <v>0</v>
      </c>
      <c r="G74" s="81">
        <v>0.000493975903614462</v>
      </c>
    </row>
    <row r="75" spans="1:7">
      <c r="A75" s="530" t="s">
        <v>174</v>
      </c>
      <c r="B75" s="138">
        <v>20.7</v>
      </c>
      <c r="C75" s="79">
        <f t="shared" ref="C75:C123" si="1">B74</f>
        <v>16.6</v>
      </c>
      <c r="D75" s="80">
        <v>0</v>
      </c>
      <c r="E75" s="80">
        <v>0</v>
      </c>
      <c r="F75" s="81">
        <v>0</v>
      </c>
      <c r="G75" s="81">
        <v>0.0202028985507246</v>
      </c>
    </row>
    <row r="76" spans="1:7">
      <c r="A76" s="530" t="s">
        <v>175</v>
      </c>
      <c r="B76" s="138">
        <v>23.3</v>
      </c>
      <c r="C76" s="79">
        <f t="shared" si="1"/>
        <v>20.7</v>
      </c>
      <c r="D76" s="80">
        <v>0</v>
      </c>
      <c r="E76" s="80">
        <v>0</v>
      </c>
      <c r="F76" s="81">
        <v>0</v>
      </c>
      <c r="G76" s="81">
        <v>0.0291072961373391</v>
      </c>
    </row>
    <row r="77" spans="1:7">
      <c r="A77" s="530" t="s">
        <v>176</v>
      </c>
      <c r="B77" s="138">
        <v>25.2</v>
      </c>
      <c r="C77" s="79">
        <f t="shared" si="1"/>
        <v>23.3</v>
      </c>
      <c r="D77" s="80">
        <v>0</v>
      </c>
      <c r="E77" s="80">
        <v>0</v>
      </c>
      <c r="F77" s="81">
        <v>0</v>
      </c>
      <c r="G77" s="81">
        <v>0.0344523809523809</v>
      </c>
    </row>
    <row r="78" spans="1:7">
      <c r="A78" s="530" t="s">
        <v>177</v>
      </c>
      <c r="B78" s="138">
        <v>27.1</v>
      </c>
      <c r="C78" s="79">
        <f t="shared" si="1"/>
        <v>25.2</v>
      </c>
      <c r="D78" s="80">
        <v>0</v>
      </c>
      <c r="E78" s="80">
        <v>0</v>
      </c>
      <c r="F78" s="81">
        <v>0</v>
      </c>
      <c r="G78" s="81">
        <v>0.0390479704797048</v>
      </c>
    </row>
    <row r="79" spans="1:7">
      <c r="A79" s="530" t="s">
        <v>178</v>
      </c>
      <c r="B79" s="138">
        <v>28.7</v>
      </c>
      <c r="C79" s="79">
        <f t="shared" si="1"/>
        <v>27.1</v>
      </c>
      <c r="D79" s="80">
        <v>0</v>
      </c>
      <c r="E79" s="80">
        <v>0</v>
      </c>
      <c r="F79" s="81">
        <v>0</v>
      </c>
      <c r="G79" s="81">
        <v>0.0546759581881533</v>
      </c>
    </row>
    <row r="80" spans="1:7">
      <c r="A80" s="78" t="s">
        <v>179</v>
      </c>
      <c r="B80" s="138">
        <v>30.1</v>
      </c>
      <c r="C80" s="79">
        <f t="shared" si="1"/>
        <v>28.7</v>
      </c>
      <c r="D80" s="80">
        <v>0</v>
      </c>
      <c r="E80" s="80">
        <v>0</v>
      </c>
      <c r="F80" s="81">
        <v>0.00119601328903658</v>
      </c>
      <c r="G80" s="81">
        <v>0.0707375415282392</v>
      </c>
    </row>
    <row r="81" spans="1:7">
      <c r="A81" s="78" t="s">
        <v>180</v>
      </c>
      <c r="B81" s="138">
        <v>31.4</v>
      </c>
      <c r="C81" s="79">
        <f t="shared" si="1"/>
        <v>30.1</v>
      </c>
      <c r="D81" s="80">
        <v>0.0253821656050957</v>
      </c>
      <c r="E81" s="80"/>
      <c r="F81" s="81">
        <v>0.00528662420382168</v>
      </c>
      <c r="G81" s="81">
        <v>0.0843694267515923</v>
      </c>
    </row>
    <row r="82" spans="1:7">
      <c r="A82" s="78" t="s">
        <v>181</v>
      </c>
      <c r="B82" s="138">
        <v>32.6</v>
      </c>
      <c r="C82" s="79">
        <f t="shared" si="1"/>
        <v>31.4</v>
      </c>
      <c r="D82" s="80">
        <v>0.0612576687116567</v>
      </c>
      <c r="E82" s="80"/>
      <c r="F82" s="81">
        <v>0.00877300613496936</v>
      </c>
      <c r="G82" s="81">
        <v>0.0959877300613497</v>
      </c>
    </row>
    <row r="83" spans="1:7">
      <c r="A83" s="78" t="s">
        <v>182</v>
      </c>
      <c r="B83" s="138">
        <v>33.6</v>
      </c>
      <c r="C83" s="79">
        <f t="shared" si="1"/>
        <v>32.6</v>
      </c>
      <c r="D83" s="80">
        <v>0.0891964285714288</v>
      </c>
      <c r="E83" s="80"/>
      <c r="F83" s="81">
        <v>0.0114880952380953</v>
      </c>
      <c r="G83" s="81">
        <v>0.105035714285714</v>
      </c>
    </row>
    <row r="84" spans="1:7">
      <c r="A84" s="78" t="s">
        <v>183</v>
      </c>
      <c r="B84" s="138">
        <v>34.9</v>
      </c>
      <c r="C84" s="79">
        <f t="shared" si="1"/>
        <v>33.6</v>
      </c>
      <c r="D84" s="80">
        <v>0.123123209169055</v>
      </c>
      <c r="E84" s="80">
        <v>0.0123123209169055</v>
      </c>
      <c r="F84" s="81">
        <v>0.014785100286533</v>
      </c>
      <c r="G84" s="81">
        <v>0.116022922636103</v>
      </c>
    </row>
    <row r="85" spans="1:7">
      <c r="A85" s="78" t="s">
        <v>184</v>
      </c>
      <c r="B85" s="138">
        <v>35.8</v>
      </c>
      <c r="C85" s="79">
        <f t="shared" si="1"/>
        <v>34.9</v>
      </c>
      <c r="D85" s="80">
        <v>0.145167597765363</v>
      </c>
      <c r="E85" s="80">
        <v>0.0145167597765363</v>
      </c>
      <c r="F85" s="81">
        <v>0.016927374301676</v>
      </c>
      <c r="G85" s="81">
        <v>0.123162011173184</v>
      </c>
    </row>
    <row r="86" spans="1:7">
      <c r="A86" s="78" t="s">
        <v>185</v>
      </c>
      <c r="B86" s="138">
        <v>36.6</v>
      </c>
      <c r="C86" s="79">
        <f t="shared" si="1"/>
        <v>35.8</v>
      </c>
      <c r="D86" s="80">
        <v>0.163852459016394</v>
      </c>
      <c r="E86" s="80">
        <v>0.0163852459016394</v>
      </c>
      <c r="F86" s="81">
        <v>0.0187431693989071</v>
      </c>
      <c r="G86" s="81">
        <v>0.129213114754098</v>
      </c>
    </row>
    <row r="87" spans="1:7">
      <c r="A87" s="78" t="s">
        <v>186</v>
      </c>
      <c r="B87" s="138">
        <v>37.3</v>
      </c>
      <c r="C87" s="79">
        <f t="shared" si="1"/>
        <v>36.6</v>
      </c>
      <c r="D87" s="80">
        <v>0.179544235924933</v>
      </c>
      <c r="E87" s="80">
        <v>0.0179544235924933</v>
      </c>
      <c r="F87" s="81">
        <v>0.0202680965147453</v>
      </c>
      <c r="G87" s="81">
        <v>0.13429490616622</v>
      </c>
    </row>
    <row r="88" spans="1:7">
      <c r="A88" s="78" t="s">
        <v>187</v>
      </c>
      <c r="B88" s="138">
        <v>38.1</v>
      </c>
      <c r="C88" s="79">
        <f t="shared" si="1"/>
        <v>37.3</v>
      </c>
      <c r="D88" s="80">
        <v>0.196771653543307</v>
      </c>
      <c r="E88" s="80">
        <v>0.0196771653543307</v>
      </c>
      <c r="F88" s="81">
        <v>0.0219422572178478</v>
      </c>
      <c r="G88" s="81">
        <v>0.139874015748032</v>
      </c>
    </row>
    <row r="89" spans="1:7">
      <c r="A89" s="78" t="s">
        <v>188</v>
      </c>
      <c r="B89" s="138">
        <v>38.9</v>
      </c>
      <c r="C89" s="79">
        <f t="shared" si="1"/>
        <v>38.1</v>
      </c>
      <c r="D89" s="80">
        <v>0.213290488431877</v>
      </c>
      <c r="E89" s="80">
        <v>0.0213290488431877</v>
      </c>
      <c r="F89" s="81">
        <v>0.023547557840617</v>
      </c>
      <c r="G89" s="81">
        <v>0.145223650385604</v>
      </c>
    </row>
    <row r="90" spans="1:7">
      <c r="A90" s="78" t="s">
        <v>189</v>
      </c>
      <c r="B90" s="138">
        <v>39.8</v>
      </c>
      <c r="C90" s="79">
        <f t="shared" si="1"/>
        <v>38.9</v>
      </c>
      <c r="D90" s="80">
        <v>0.23108040201005</v>
      </c>
      <c r="E90" s="80">
        <v>0.023108040201005</v>
      </c>
      <c r="F90" s="81">
        <v>0.0252763819095478</v>
      </c>
      <c r="G90" s="81">
        <v>0.150984924623116</v>
      </c>
    </row>
    <row r="91" spans="1:7">
      <c r="A91" s="78" t="s">
        <v>190</v>
      </c>
      <c r="B91" s="138">
        <v>41.1</v>
      </c>
      <c r="C91" s="79">
        <f t="shared" si="1"/>
        <v>39.8</v>
      </c>
      <c r="D91" s="80">
        <v>0.255401459854015</v>
      </c>
      <c r="E91" s="80">
        <v>0.0255401459854015</v>
      </c>
      <c r="F91" s="81">
        <v>0.027639902676399</v>
      </c>
      <c r="G91" s="81">
        <v>0.158861313868613</v>
      </c>
    </row>
    <row r="92" spans="1:7">
      <c r="A92" s="78" t="s">
        <v>191</v>
      </c>
      <c r="B92" s="138">
        <v>42.4</v>
      </c>
      <c r="C92" s="79">
        <f t="shared" si="1"/>
        <v>41.1</v>
      </c>
      <c r="D92" s="80">
        <v>0.278231132075472</v>
      </c>
      <c r="E92" s="80">
        <v>0.0278231132075472</v>
      </c>
      <c r="F92" s="81">
        <v>0.0298584905660378</v>
      </c>
      <c r="G92" s="81">
        <v>0.166254716981132</v>
      </c>
    </row>
    <row r="93" spans="1:7">
      <c r="A93" s="78" t="s">
        <v>192</v>
      </c>
      <c r="B93" s="138">
        <v>43.4</v>
      </c>
      <c r="C93" s="79">
        <f t="shared" si="1"/>
        <v>42.4</v>
      </c>
      <c r="D93" s="80">
        <v>0.294861751152074</v>
      </c>
      <c r="E93" s="80">
        <v>0.0294861751152074</v>
      </c>
      <c r="F93" s="81">
        <v>0.0314746543778802</v>
      </c>
      <c r="G93" s="81">
        <v>0.171640552995392</v>
      </c>
    </row>
    <row r="94" spans="1:7">
      <c r="A94" s="78" t="s">
        <v>193</v>
      </c>
      <c r="B94" s="138">
        <v>44.6</v>
      </c>
      <c r="C94" s="79">
        <f t="shared" si="1"/>
        <v>43.4</v>
      </c>
      <c r="D94" s="80">
        <v>0.313834080717489</v>
      </c>
      <c r="E94" s="80">
        <v>0.0313834080717489</v>
      </c>
      <c r="F94" s="81">
        <v>0.0333183856502242</v>
      </c>
      <c r="G94" s="81">
        <v>0.177784753363229</v>
      </c>
    </row>
    <row r="95" spans="1:7">
      <c r="A95" s="78" t="s">
        <v>194</v>
      </c>
      <c r="B95" s="138">
        <v>45.6</v>
      </c>
      <c r="C95" s="79">
        <f t="shared" si="1"/>
        <v>44.6</v>
      </c>
      <c r="D95" s="80">
        <v>0.328881578947369</v>
      </c>
      <c r="E95" s="80">
        <v>0.0328881578947369</v>
      </c>
      <c r="F95" s="81">
        <v>0.034780701754386</v>
      </c>
      <c r="G95" s="81">
        <v>0.182657894736842</v>
      </c>
    </row>
    <row r="96" spans="1:7">
      <c r="A96" s="78" t="s">
        <v>195</v>
      </c>
      <c r="B96" s="138">
        <v>46.8</v>
      </c>
      <c r="C96" s="79">
        <f t="shared" si="1"/>
        <v>45.6</v>
      </c>
      <c r="D96" s="80">
        <v>0.346089743589744</v>
      </c>
      <c r="E96" s="80">
        <v>0.0346089743589744</v>
      </c>
      <c r="F96" s="81">
        <v>0.0364529914529915</v>
      </c>
      <c r="G96" s="81">
        <v>0.188230769230769</v>
      </c>
    </row>
    <row r="97" spans="1:7">
      <c r="A97" s="78" t="s">
        <v>196</v>
      </c>
      <c r="B97" s="138">
        <v>47.9</v>
      </c>
      <c r="C97" s="79">
        <f t="shared" si="1"/>
        <v>46.8</v>
      </c>
      <c r="D97" s="80">
        <v>0.361106471816284</v>
      </c>
      <c r="E97" s="80">
        <v>0.0361106471816284</v>
      </c>
      <c r="F97" s="81">
        <v>0.0379123173277662</v>
      </c>
      <c r="G97" s="81">
        <v>0.193093945720251</v>
      </c>
    </row>
    <row r="98" spans="1:7">
      <c r="A98" s="78" t="s">
        <v>197</v>
      </c>
      <c r="B98" s="138">
        <v>48.9</v>
      </c>
      <c r="C98" s="79">
        <f t="shared" si="1"/>
        <v>47.9</v>
      </c>
      <c r="D98" s="80">
        <v>0.374171779141104</v>
      </c>
      <c r="E98" s="80">
        <v>0.0374171779141104</v>
      </c>
      <c r="F98" s="81">
        <v>0.0391820040899796</v>
      </c>
      <c r="G98" s="81">
        <v>0.197325153374233</v>
      </c>
    </row>
    <row r="99" spans="1:7">
      <c r="A99" s="78" t="s">
        <v>198</v>
      </c>
      <c r="B99" s="101">
        <v>50</v>
      </c>
      <c r="C99" s="79">
        <f t="shared" si="1"/>
        <v>48.9</v>
      </c>
      <c r="D99" s="80">
        <v>0.38794</v>
      </c>
      <c r="E99" s="80">
        <v>0.038794</v>
      </c>
      <c r="F99" s="81">
        <v>0.0431200000000001</v>
      </c>
      <c r="G99" s="81">
        <v>0.201784</v>
      </c>
    </row>
    <row r="100" spans="1:7">
      <c r="A100" s="78" t="s">
        <v>199</v>
      </c>
      <c r="B100" s="138">
        <v>51.2</v>
      </c>
      <c r="C100" s="79">
        <f t="shared" si="1"/>
        <v>50</v>
      </c>
      <c r="D100" s="80">
        <v>0.40228515625</v>
      </c>
      <c r="E100" s="80">
        <v>0.0413710937500001</v>
      </c>
      <c r="F100" s="81">
        <v>0.0514843750000001</v>
      </c>
      <c r="G100" s="81">
        <v>0.2064296875</v>
      </c>
    </row>
    <row r="101" spans="1:7">
      <c r="A101" s="78" t="s">
        <v>200</v>
      </c>
      <c r="B101" s="138">
        <v>52.7</v>
      </c>
      <c r="C101" s="79">
        <f t="shared" si="1"/>
        <v>51.2</v>
      </c>
      <c r="D101" s="80">
        <v>0.419297912713473</v>
      </c>
      <c r="E101" s="80">
        <v>0.0515787476280835</v>
      </c>
      <c r="F101" s="81">
        <v>0.0614041745730551</v>
      </c>
      <c r="G101" s="81">
        <v>0.211939278937381</v>
      </c>
    </row>
    <row r="102" spans="1:7">
      <c r="A102" s="78" t="s">
        <v>201</v>
      </c>
      <c r="B102" s="101">
        <v>54</v>
      </c>
      <c r="C102" s="79">
        <f t="shared" si="1"/>
        <v>52.7</v>
      </c>
      <c r="D102" s="80">
        <v>0.433277777777778</v>
      </c>
      <c r="E102" s="80">
        <v>0.0599666666666667</v>
      </c>
      <c r="F102" s="81">
        <v>0.0695555555555556</v>
      </c>
      <c r="G102" s="81">
        <v>0.216466666666667</v>
      </c>
    </row>
    <row r="103" spans="1:7">
      <c r="A103" s="78" t="s">
        <v>202</v>
      </c>
      <c r="B103" s="138">
        <v>55.3</v>
      </c>
      <c r="C103" s="79">
        <f t="shared" si="1"/>
        <v>54</v>
      </c>
      <c r="D103" s="80">
        <v>0.446600361663653</v>
      </c>
      <c r="E103" s="80">
        <v>0.0679602169981917</v>
      </c>
      <c r="F103" s="81">
        <v>0.0773236889692587</v>
      </c>
      <c r="G103" s="81">
        <v>0.220781193490054</v>
      </c>
    </row>
    <row r="104" spans="1:7">
      <c r="A104" s="78" t="s">
        <v>203</v>
      </c>
      <c r="B104" s="138">
        <v>56.8</v>
      </c>
      <c r="C104" s="79">
        <f t="shared" si="1"/>
        <v>55.3</v>
      </c>
      <c r="D104" s="80">
        <v>0.461214788732394</v>
      </c>
      <c r="E104" s="80">
        <v>0.0767288732394366</v>
      </c>
      <c r="F104" s="81">
        <v>0.0858450704225353</v>
      </c>
      <c r="G104" s="81">
        <v>0.225514084507042</v>
      </c>
    </row>
    <row r="105" spans="1:7">
      <c r="A105" s="78" t="s">
        <v>204</v>
      </c>
      <c r="B105" s="101">
        <v>58</v>
      </c>
      <c r="C105" s="79">
        <f t="shared" si="1"/>
        <v>56.8</v>
      </c>
      <c r="D105" s="80">
        <v>0.472362068965517</v>
      </c>
      <c r="E105" s="80">
        <v>0.0834172413793104</v>
      </c>
      <c r="F105" s="81">
        <v>0.092344827586207</v>
      </c>
      <c r="G105" s="81">
        <v>0.229124137931035</v>
      </c>
    </row>
    <row r="106" spans="1:7">
      <c r="A106" s="78" t="s">
        <v>205</v>
      </c>
      <c r="B106" s="138">
        <v>59.4</v>
      </c>
      <c r="C106" s="79">
        <f t="shared" si="1"/>
        <v>58</v>
      </c>
      <c r="D106" s="80">
        <v>0.48479797979798</v>
      </c>
      <c r="E106" s="80">
        <v>0.0908787878787879</v>
      </c>
      <c r="F106" s="81">
        <v>0.0995959595959597</v>
      </c>
      <c r="G106" s="81">
        <v>0.233151515151515</v>
      </c>
    </row>
    <row r="107" spans="1:7">
      <c r="A107" s="78" t="s">
        <v>206</v>
      </c>
      <c r="B107" s="138">
        <v>61.1</v>
      </c>
      <c r="C107" s="79">
        <f t="shared" si="1"/>
        <v>59.4</v>
      </c>
      <c r="D107" s="80">
        <v>0.499132569558102</v>
      </c>
      <c r="E107" s="80">
        <v>0.0994795417348609</v>
      </c>
      <c r="F107" s="81">
        <v>0.107954173486088</v>
      </c>
      <c r="G107" s="81">
        <v>0.237793780687398</v>
      </c>
    </row>
    <row r="108" spans="1:7">
      <c r="A108" s="78" t="s">
        <v>207</v>
      </c>
      <c r="B108" s="138">
        <v>62.7</v>
      </c>
      <c r="C108" s="79">
        <f t="shared" si="1"/>
        <v>61.1</v>
      </c>
      <c r="D108" s="80">
        <v>0.511913875598086</v>
      </c>
      <c r="E108" s="80">
        <v>0.107148325358852</v>
      </c>
      <c r="F108" s="81">
        <v>0.115406698564593</v>
      </c>
      <c r="G108" s="81">
        <v>0.241933014354067</v>
      </c>
    </row>
    <row r="109" spans="1:7">
      <c r="A109" s="78" t="s">
        <v>208</v>
      </c>
      <c r="B109" s="138">
        <v>64.5</v>
      </c>
      <c r="C109" s="79">
        <f t="shared" si="1"/>
        <v>62.7</v>
      </c>
      <c r="D109" s="80">
        <v>0.52553488372093</v>
      </c>
      <c r="E109" s="80">
        <v>0.115320930232558</v>
      </c>
      <c r="F109" s="81">
        <v>0.123348837209302</v>
      </c>
      <c r="G109" s="81">
        <v>0.246344186046512</v>
      </c>
    </row>
    <row r="110" spans="1:7">
      <c r="A110" s="78" t="s">
        <v>209</v>
      </c>
      <c r="B110" s="138">
        <v>66.6</v>
      </c>
      <c r="C110" s="79">
        <f t="shared" si="1"/>
        <v>64.5</v>
      </c>
      <c r="D110" s="80">
        <v>0.540495495495496</v>
      </c>
      <c r="E110" s="80">
        <v>0.124297297297297</v>
      </c>
      <c r="F110" s="81">
        <v>0.132072072072072</v>
      </c>
      <c r="G110" s="81">
        <v>0.251189189189189</v>
      </c>
    </row>
    <row r="111" spans="1:7">
      <c r="A111" s="78" t="s">
        <v>210</v>
      </c>
      <c r="B111" s="138">
        <v>68.5</v>
      </c>
      <c r="C111" s="79">
        <f t="shared" si="1"/>
        <v>66.6</v>
      </c>
      <c r="D111" s="80">
        <v>0.553240875912409</v>
      </c>
      <c r="E111" s="80">
        <v>0.131944525547445</v>
      </c>
      <c r="F111" s="81">
        <v>0.139503649635037</v>
      </c>
      <c r="G111" s="81">
        <v>0.255316788321168</v>
      </c>
    </row>
    <row r="112" spans="1:7">
      <c r="A112" s="78" t="s">
        <v>211</v>
      </c>
      <c r="B112" s="138">
        <v>70.5</v>
      </c>
      <c r="C112" s="79">
        <f t="shared" si="1"/>
        <v>68.5</v>
      </c>
      <c r="D112" s="80">
        <v>0.565914893617021</v>
      </c>
      <c r="E112" s="80">
        <v>0.139548936170213</v>
      </c>
      <c r="F112" s="81">
        <v>0.146893617021277</v>
      </c>
      <c r="G112" s="81">
        <v>0.259421276595745</v>
      </c>
    </row>
    <row r="113" spans="1:7">
      <c r="A113" s="78" t="s">
        <v>212</v>
      </c>
      <c r="B113" s="138">
        <v>73.6</v>
      </c>
      <c r="C113" s="79">
        <f t="shared" si="1"/>
        <v>70.5</v>
      </c>
      <c r="D113" s="80">
        <v>0.584198369565217</v>
      </c>
      <c r="E113" s="80">
        <v>0.15051902173913</v>
      </c>
      <c r="F113" s="81">
        <v>0.157554347826087</v>
      </c>
      <c r="G113" s="81">
        <v>0.265342391304348</v>
      </c>
    </row>
    <row r="114" spans="1:7">
      <c r="A114" s="78" t="s">
        <v>213</v>
      </c>
      <c r="B114" s="138">
        <v>76.8</v>
      </c>
      <c r="C114" s="79">
        <f t="shared" si="1"/>
        <v>73.6</v>
      </c>
      <c r="D114" s="80">
        <v>0.6015234375</v>
      </c>
      <c r="E114" s="80">
        <v>0.1609140625</v>
      </c>
      <c r="F114" s="81">
        <v>0.16765625</v>
      </c>
      <c r="G114" s="81">
        <v>0.270953125</v>
      </c>
    </row>
    <row r="115" spans="1:7">
      <c r="A115" s="78" t="s">
        <v>214</v>
      </c>
      <c r="B115" s="138">
        <v>80.8</v>
      </c>
      <c r="C115" s="79">
        <f t="shared" si="1"/>
        <v>76.8</v>
      </c>
      <c r="D115" s="80">
        <v>0.62125</v>
      </c>
      <c r="E115" s="80">
        <v>0.17275</v>
      </c>
      <c r="F115" s="81">
        <v>0.179158415841584</v>
      </c>
      <c r="G115" s="81">
        <v>0.277341584158416</v>
      </c>
    </row>
    <row r="116" spans="1:7">
      <c r="A116" s="78" t="s">
        <v>215</v>
      </c>
      <c r="B116" s="138">
        <v>84.5</v>
      </c>
      <c r="C116" s="79">
        <f t="shared" si="1"/>
        <v>80.8</v>
      </c>
      <c r="D116" s="80">
        <v>0.637834319526627</v>
      </c>
      <c r="E116" s="80">
        <v>0.182700591715976</v>
      </c>
      <c r="F116" s="81">
        <v>0.188828402366864</v>
      </c>
      <c r="G116" s="81">
        <v>0.282712426035503</v>
      </c>
    </row>
    <row r="117" spans="1:7">
      <c r="A117" s="78" t="s">
        <v>216</v>
      </c>
      <c r="B117" s="138">
        <v>87.6</v>
      </c>
      <c r="C117" s="79">
        <f t="shared" si="1"/>
        <v>84.5</v>
      </c>
      <c r="D117" s="80">
        <v>0.650650684931507</v>
      </c>
      <c r="E117" s="80">
        <v>0.190390410958904</v>
      </c>
      <c r="F117" s="81">
        <v>0.196301369863014</v>
      </c>
      <c r="G117" s="81">
        <v>0.28686301369863</v>
      </c>
    </row>
    <row r="118" spans="1:7">
      <c r="A118" s="78" t="s">
        <v>217</v>
      </c>
      <c r="B118" s="138">
        <v>93.9</v>
      </c>
      <c r="C118" s="79">
        <f t="shared" si="1"/>
        <v>87.6</v>
      </c>
      <c r="D118" s="80">
        <v>0.67408945686901</v>
      </c>
      <c r="E118" s="80">
        <v>0.204453674121406</v>
      </c>
      <c r="F118" s="81">
        <v>0.209968051118211</v>
      </c>
      <c r="G118" s="81">
        <v>0.294453674121406</v>
      </c>
    </row>
    <row r="119" spans="1:7">
      <c r="A119" s="78" t="s">
        <v>218</v>
      </c>
      <c r="B119" s="138">
        <v>100.2</v>
      </c>
      <c r="C119" s="79">
        <f t="shared" si="1"/>
        <v>93.9</v>
      </c>
      <c r="D119" s="80">
        <v>0.694580838323353</v>
      </c>
      <c r="E119" s="80">
        <v>0.216748502994012</v>
      </c>
      <c r="F119" s="81">
        <v>0.221916167664671</v>
      </c>
      <c r="G119" s="81">
        <v>0.301089820359281</v>
      </c>
    </row>
    <row r="120" spans="1:7">
      <c r="A120" s="78" t="s">
        <v>219</v>
      </c>
      <c r="B120" s="138">
        <v>111.3</v>
      </c>
      <c r="C120" s="79">
        <f t="shared" si="1"/>
        <v>100.2</v>
      </c>
      <c r="D120" s="80">
        <v>0.725040431266846</v>
      </c>
      <c r="E120" s="80">
        <v>0.235024258760108</v>
      </c>
      <c r="F120" s="81">
        <v>0.239676549865229</v>
      </c>
      <c r="G120" s="81">
        <v>0.310954177897574</v>
      </c>
    </row>
    <row r="121" spans="1:7">
      <c r="A121" s="78" t="s">
        <v>220</v>
      </c>
      <c r="B121" s="138">
        <v>125.5</v>
      </c>
      <c r="C121" s="79">
        <f t="shared" si="1"/>
        <v>111.3</v>
      </c>
      <c r="D121" s="80">
        <v>0.756151394422311</v>
      </c>
      <c r="E121" s="80">
        <v>0.253690836653386</v>
      </c>
      <c r="F121" s="81">
        <v>0.257816733067729</v>
      </c>
      <c r="G121" s="81">
        <v>0.321029482071713</v>
      </c>
    </row>
    <row r="122" spans="1:7">
      <c r="A122" s="78" t="s">
        <v>221</v>
      </c>
      <c r="B122" s="138">
        <v>185.4</v>
      </c>
      <c r="C122" s="79">
        <f t="shared" si="1"/>
        <v>125.5</v>
      </c>
      <c r="D122" s="80">
        <v>0.834935275080906</v>
      </c>
      <c r="E122" s="80">
        <v>0.300961165048544</v>
      </c>
      <c r="F122" s="81">
        <v>0.303754045307443</v>
      </c>
      <c r="G122" s="81">
        <v>0.346543689320388</v>
      </c>
    </row>
    <row r="123" spans="1:7">
      <c r="A123" s="78" t="s">
        <v>221</v>
      </c>
      <c r="B123" s="78" t="s">
        <v>391</v>
      </c>
      <c r="C123" s="79">
        <f t="shared" si="1"/>
        <v>185.4</v>
      </c>
      <c r="D123" s="83" t="s">
        <v>232</v>
      </c>
      <c r="E123" s="83"/>
      <c r="F123" s="84"/>
      <c r="G123" s="84"/>
    </row>
    <row r="124" spans="1:7">
      <c r="A124" s="78"/>
      <c r="B124" s="78"/>
      <c r="C124" s="78"/>
      <c r="D124" s="83"/>
      <c r="E124" s="85">
        <v>0.0738942427795488</v>
      </c>
      <c r="F124" s="86">
        <v>0.0781467231368647</v>
      </c>
      <c r="G124" s="86">
        <v>0.182064154438813</v>
      </c>
    </row>
    <row r="125" ht="48" spans="1:7">
      <c r="A125" s="87" t="s">
        <v>233</v>
      </c>
      <c r="B125" s="282">
        <v>27.53</v>
      </c>
      <c r="C125" s="78"/>
      <c r="D125" s="83"/>
      <c r="E125" s="127">
        <v>51.005</v>
      </c>
      <c r="F125" s="128">
        <v>49.5666666666667</v>
      </c>
      <c r="G125" s="129">
        <v>27.53</v>
      </c>
    </row>
    <row r="126" ht="48" spans="1:7">
      <c r="A126" s="87" t="s">
        <v>224</v>
      </c>
      <c r="B126" s="282">
        <v>54.16</v>
      </c>
      <c r="C126" s="78"/>
      <c r="D126" s="83"/>
      <c r="E126" s="83"/>
      <c r="F126" s="84"/>
      <c r="G126" s="84"/>
    </row>
    <row r="127" ht="84" spans="1:7">
      <c r="A127" s="106" t="s">
        <v>225</v>
      </c>
      <c r="B127" s="78">
        <v>16.5</v>
      </c>
      <c r="C127" s="78"/>
      <c r="D127" s="83"/>
      <c r="E127" s="83">
        <v>30.603</v>
      </c>
      <c r="F127" s="84">
        <v>29.74</v>
      </c>
      <c r="G127" s="84">
        <v>16.518</v>
      </c>
    </row>
    <row r="129" ht="48.75" spans="1:2">
      <c r="A129" s="256" t="s">
        <v>224</v>
      </c>
      <c r="B129">
        <f>B126</f>
        <v>54.16</v>
      </c>
    </row>
    <row r="130" spans="1:3">
      <c r="A130" s="531" t="s">
        <v>226</v>
      </c>
      <c r="B130" s="95">
        <f>AVERAGE(B78:B117)</f>
        <v>51.005</v>
      </c>
      <c r="C130" s="95"/>
    </row>
    <row r="131" spans="1:3">
      <c r="A131" s="531" t="s">
        <v>227</v>
      </c>
      <c r="B131" s="96">
        <f>AVERAGE(B83:B112)</f>
        <v>49.5666666666667</v>
      </c>
      <c r="C131" s="96"/>
    </row>
    <row r="132" spans="1:3">
      <c r="A132" s="531" t="s">
        <v>228</v>
      </c>
      <c r="B132" s="96">
        <f>AVERAGE(B89:B107)</f>
        <v>49.3631578947368</v>
      </c>
      <c r="C132" s="96"/>
    </row>
    <row r="133" ht="15.75"/>
    <row r="134" ht="15.75" spans="1:7">
      <c r="A134" s="252" t="s">
        <v>165</v>
      </c>
      <c r="B134" s="67" t="s">
        <v>347</v>
      </c>
      <c r="C134" s="68"/>
      <c r="D134" s="69"/>
      <c r="E134" s="70">
        <f>(1-E189)^(1/3)-1</f>
        <v>-0.0334641938057956</v>
      </c>
      <c r="F134" s="70">
        <f>(1-F189)^(1/3)-1</f>
        <v>-0.0411065259982887</v>
      </c>
      <c r="G134" s="70"/>
    </row>
    <row r="135" ht="72.75" spans="1:7">
      <c r="A135" s="253"/>
      <c r="B135" s="72" t="s">
        <v>167</v>
      </c>
      <c r="C135" s="107"/>
      <c r="D135" s="83" t="s">
        <v>168</v>
      </c>
      <c r="E135" s="83" t="s">
        <v>169</v>
      </c>
      <c r="F135" s="84" t="s">
        <v>169</v>
      </c>
      <c r="G135" s="84"/>
    </row>
    <row r="136" ht="24.75" spans="1:7">
      <c r="A136" s="254"/>
      <c r="B136" s="72" t="s">
        <v>235</v>
      </c>
      <c r="C136" s="107"/>
      <c r="D136" s="83" t="s">
        <v>171</v>
      </c>
      <c r="E136" s="83" t="s">
        <v>171</v>
      </c>
      <c r="F136" s="84" t="s">
        <v>171</v>
      </c>
      <c r="G136" s="84"/>
    </row>
    <row r="137" spans="1:7">
      <c r="A137" s="75">
        <v>1</v>
      </c>
      <c r="B137" s="76">
        <v>2</v>
      </c>
      <c r="C137" s="76"/>
      <c r="D137" s="76">
        <v>3</v>
      </c>
      <c r="E137" s="76">
        <v>4</v>
      </c>
      <c r="F137" s="77">
        <v>5</v>
      </c>
      <c r="G137" s="77"/>
    </row>
    <row r="138" ht="15.75" spans="1:7">
      <c r="A138" s="533" t="s">
        <v>172</v>
      </c>
      <c r="B138" s="258">
        <v>0.001</v>
      </c>
      <c r="C138" s="112">
        <v>0</v>
      </c>
      <c r="D138" s="80">
        <v>0</v>
      </c>
      <c r="E138" s="80">
        <v>0</v>
      </c>
      <c r="F138" s="81">
        <v>0</v>
      </c>
      <c r="G138" s="81">
        <v>0</v>
      </c>
    </row>
    <row r="139" ht="15.75" spans="1:7">
      <c r="A139" s="533" t="s">
        <v>173</v>
      </c>
      <c r="B139" s="258">
        <v>0.001</v>
      </c>
      <c r="C139" s="79">
        <f>B138</f>
        <v>0.001</v>
      </c>
      <c r="D139" s="80">
        <v>0</v>
      </c>
      <c r="E139" s="80">
        <v>0</v>
      </c>
      <c r="F139" s="81">
        <v>0</v>
      </c>
      <c r="G139" s="81">
        <v>0</v>
      </c>
    </row>
    <row r="140" ht="15.75" spans="1:7">
      <c r="A140" s="533" t="s">
        <v>174</v>
      </c>
      <c r="B140" s="258">
        <v>0.001</v>
      </c>
      <c r="C140" s="79">
        <f t="shared" ref="C140:C188" si="2">B139</f>
        <v>0.001</v>
      </c>
      <c r="D140" s="80">
        <v>0</v>
      </c>
      <c r="E140" s="80">
        <v>0</v>
      </c>
      <c r="F140" s="81">
        <v>0</v>
      </c>
      <c r="G140" s="81">
        <v>0</v>
      </c>
    </row>
    <row r="141" ht="15.75" spans="1:7">
      <c r="A141" s="533" t="s">
        <v>175</v>
      </c>
      <c r="B141" s="258">
        <v>0.001</v>
      </c>
      <c r="C141" s="79">
        <f t="shared" si="2"/>
        <v>0.001</v>
      </c>
      <c r="D141" s="80">
        <v>0</v>
      </c>
      <c r="E141" s="80">
        <v>0</v>
      </c>
      <c r="F141" s="81">
        <v>0</v>
      </c>
      <c r="G141" s="81">
        <v>0</v>
      </c>
    </row>
    <row r="142" ht="15.75" spans="1:7">
      <c r="A142" s="533" t="s">
        <v>176</v>
      </c>
      <c r="B142" s="258">
        <v>0.002</v>
      </c>
      <c r="C142" s="79">
        <f t="shared" si="2"/>
        <v>0.001</v>
      </c>
      <c r="D142" s="80">
        <v>0</v>
      </c>
      <c r="E142" s="80">
        <v>0</v>
      </c>
      <c r="F142" s="81">
        <v>0</v>
      </c>
      <c r="G142" s="81">
        <v>0</v>
      </c>
    </row>
    <row r="143" ht="15.75" spans="1:7">
      <c r="A143" s="533" t="s">
        <v>177</v>
      </c>
      <c r="B143" s="258">
        <v>0.002</v>
      </c>
      <c r="C143" s="79">
        <f t="shared" si="2"/>
        <v>0.002</v>
      </c>
      <c r="D143" s="80">
        <v>0</v>
      </c>
      <c r="E143" s="80">
        <v>0</v>
      </c>
      <c r="F143" s="81">
        <v>0</v>
      </c>
      <c r="G143" s="81">
        <v>0</v>
      </c>
    </row>
    <row r="144" ht="15.75" spans="1:7">
      <c r="A144" s="533" t="s">
        <v>178</v>
      </c>
      <c r="B144" s="258">
        <v>0.002</v>
      </c>
      <c r="C144" s="79">
        <f t="shared" si="2"/>
        <v>0.002</v>
      </c>
      <c r="D144" s="80">
        <v>0</v>
      </c>
      <c r="E144" s="80">
        <v>0</v>
      </c>
      <c r="F144" s="81">
        <v>0</v>
      </c>
      <c r="G144" s="81">
        <v>0</v>
      </c>
    </row>
    <row r="145" ht="15.75" spans="1:7">
      <c r="A145" s="257" t="s">
        <v>179</v>
      </c>
      <c r="B145" s="258">
        <v>0.002</v>
      </c>
      <c r="C145" s="79">
        <f t="shared" si="2"/>
        <v>0.002</v>
      </c>
      <c r="D145" s="80">
        <v>0</v>
      </c>
      <c r="E145" s="80">
        <v>0</v>
      </c>
      <c r="F145" s="81">
        <v>0</v>
      </c>
      <c r="G145" s="81">
        <v>0</v>
      </c>
    </row>
    <row r="146" ht="15.75" spans="1:7">
      <c r="A146" s="257" t="s">
        <v>180</v>
      </c>
      <c r="B146" s="258">
        <v>0.003</v>
      </c>
      <c r="C146" s="79">
        <f t="shared" si="2"/>
        <v>0.002</v>
      </c>
      <c r="D146" s="80">
        <v>0</v>
      </c>
      <c r="E146" s="80">
        <v>0</v>
      </c>
      <c r="F146" s="81">
        <v>0</v>
      </c>
      <c r="G146" s="81">
        <v>0</v>
      </c>
    </row>
    <row r="147" ht="15.75" spans="1:7">
      <c r="A147" s="257" t="s">
        <v>181</v>
      </c>
      <c r="B147" s="258">
        <v>0.004</v>
      </c>
      <c r="C147" s="79">
        <f t="shared" si="2"/>
        <v>0.003</v>
      </c>
      <c r="D147" s="80">
        <v>0</v>
      </c>
      <c r="E147" s="80">
        <v>0</v>
      </c>
      <c r="F147" s="81">
        <v>0</v>
      </c>
      <c r="G147" s="81">
        <v>0</v>
      </c>
    </row>
    <row r="148" ht="15.75" spans="1:7">
      <c r="A148" s="257" t="s">
        <v>182</v>
      </c>
      <c r="B148" s="258">
        <v>0.004</v>
      </c>
      <c r="C148" s="79">
        <f t="shared" si="2"/>
        <v>0.004</v>
      </c>
      <c r="D148" s="80">
        <v>0</v>
      </c>
      <c r="E148" s="80">
        <v>0</v>
      </c>
      <c r="F148" s="81">
        <v>0</v>
      </c>
      <c r="G148" s="81">
        <v>0</v>
      </c>
    </row>
    <row r="149" ht="15.75" spans="1:7">
      <c r="A149" s="257" t="s">
        <v>183</v>
      </c>
      <c r="B149" s="258">
        <v>0.004</v>
      </c>
      <c r="C149" s="79">
        <f t="shared" si="2"/>
        <v>0.004</v>
      </c>
      <c r="D149" s="80">
        <v>0</v>
      </c>
      <c r="E149" s="80">
        <v>0</v>
      </c>
      <c r="F149" s="81">
        <v>0</v>
      </c>
      <c r="G149" s="81">
        <v>0</v>
      </c>
    </row>
    <row r="150" ht="15.75" spans="1:7">
      <c r="A150" s="257" t="s">
        <v>184</v>
      </c>
      <c r="B150" s="258">
        <v>0.004</v>
      </c>
      <c r="C150" s="79">
        <f t="shared" si="2"/>
        <v>0.004</v>
      </c>
      <c r="D150" s="80">
        <v>0</v>
      </c>
      <c r="E150" s="80">
        <v>0</v>
      </c>
      <c r="F150" s="81">
        <v>0</v>
      </c>
      <c r="G150" s="81">
        <v>0</v>
      </c>
    </row>
    <row r="151" ht="15.75" spans="1:7">
      <c r="A151" s="257" t="s">
        <v>185</v>
      </c>
      <c r="B151" s="258">
        <v>0.004</v>
      </c>
      <c r="C151" s="79">
        <f t="shared" si="2"/>
        <v>0.004</v>
      </c>
      <c r="D151" s="80">
        <v>0</v>
      </c>
      <c r="E151" s="80">
        <v>0</v>
      </c>
      <c r="F151" s="81">
        <v>0</v>
      </c>
      <c r="G151" s="81">
        <v>0</v>
      </c>
    </row>
    <row r="152" ht="15.75" spans="1:7">
      <c r="A152" s="257" t="s">
        <v>186</v>
      </c>
      <c r="B152" s="258">
        <v>0.005</v>
      </c>
      <c r="C152" s="79">
        <f t="shared" si="2"/>
        <v>0.004</v>
      </c>
      <c r="D152" s="80">
        <v>0</v>
      </c>
      <c r="E152" s="80">
        <v>0</v>
      </c>
      <c r="F152" s="81">
        <v>0</v>
      </c>
      <c r="G152" s="81">
        <v>0</v>
      </c>
    </row>
    <row r="153" ht="15.75" spans="1:7">
      <c r="A153" s="257" t="s">
        <v>187</v>
      </c>
      <c r="B153" s="258">
        <v>0.006</v>
      </c>
      <c r="C153" s="79">
        <f t="shared" si="2"/>
        <v>0.005</v>
      </c>
      <c r="D153" s="80">
        <v>0</v>
      </c>
      <c r="E153" s="80">
        <v>0</v>
      </c>
      <c r="F153" s="81">
        <v>0</v>
      </c>
      <c r="G153" s="81">
        <v>0</v>
      </c>
    </row>
    <row r="154" ht="15.75" spans="1:7">
      <c r="A154" s="257" t="s">
        <v>188</v>
      </c>
      <c r="B154" s="258">
        <v>0.006</v>
      </c>
      <c r="C154" s="79">
        <f t="shared" si="2"/>
        <v>0.006</v>
      </c>
      <c r="D154" s="80">
        <v>0</v>
      </c>
      <c r="E154" s="80">
        <v>0</v>
      </c>
      <c r="F154" s="81">
        <v>0</v>
      </c>
      <c r="G154" s="81">
        <v>0</v>
      </c>
    </row>
    <row r="155" ht="15.75" spans="1:7">
      <c r="A155" s="257" t="s">
        <v>189</v>
      </c>
      <c r="B155" s="258">
        <v>0.007</v>
      </c>
      <c r="C155" s="79">
        <f t="shared" si="2"/>
        <v>0.006</v>
      </c>
      <c r="D155" s="80">
        <v>0</v>
      </c>
      <c r="E155" s="80">
        <v>0</v>
      </c>
      <c r="F155" s="81">
        <v>0</v>
      </c>
      <c r="G155" s="81">
        <v>0</v>
      </c>
    </row>
    <row r="156" ht="15.75" spans="1:7">
      <c r="A156" s="257" t="s">
        <v>190</v>
      </c>
      <c r="B156" s="258">
        <v>0.01</v>
      </c>
      <c r="C156" s="79">
        <f t="shared" si="2"/>
        <v>0.007</v>
      </c>
      <c r="D156" s="80">
        <v>0</v>
      </c>
      <c r="E156" s="80">
        <v>0</v>
      </c>
      <c r="F156" s="81">
        <v>0</v>
      </c>
      <c r="G156" s="81">
        <v>0</v>
      </c>
    </row>
    <row r="157" ht="15.75" spans="1:7">
      <c r="A157" s="257" t="s">
        <v>191</v>
      </c>
      <c r="B157" s="258">
        <v>0.012</v>
      </c>
      <c r="C157" s="79">
        <f t="shared" si="2"/>
        <v>0.01</v>
      </c>
      <c r="D157" s="80">
        <v>0</v>
      </c>
      <c r="E157" s="80">
        <v>0</v>
      </c>
      <c r="F157" s="81">
        <v>0</v>
      </c>
      <c r="G157" s="81">
        <v>0</v>
      </c>
    </row>
    <row r="158" ht="15.75" spans="1:7">
      <c r="A158" s="257" t="s">
        <v>192</v>
      </c>
      <c r="B158" s="258">
        <v>0.016</v>
      </c>
      <c r="C158" s="79">
        <f t="shared" si="2"/>
        <v>0.012</v>
      </c>
      <c r="D158" s="80">
        <v>0</v>
      </c>
      <c r="E158" s="80">
        <v>0</v>
      </c>
      <c r="F158" s="81">
        <v>0</v>
      </c>
      <c r="G158" s="81">
        <v>0</v>
      </c>
    </row>
    <row r="159" ht="15.75" spans="1:7">
      <c r="A159" s="257" t="s">
        <v>193</v>
      </c>
      <c r="B159" s="258">
        <v>0.02</v>
      </c>
      <c r="C159" s="79">
        <f t="shared" si="2"/>
        <v>0.016</v>
      </c>
      <c r="D159" s="80">
        <v>0</v>
      </c>
      <c r="E159" s="80">
        <v>0</v>
      </c>
      <c r="F159" s="81">
        <v>0</v>
      </c>
      <c r="G159" s="81">
        <v>0</v>
      </c>
    </row>
    <row r="160" ht="15.75" spans="1:7">
      <c r="A160" s="257" t="s">
        <v>194</v>
      </c>
      <c r="B160" s="258">
        <v>0.025</v>
      </c>
      <c r="C160" s="79">
        <f t="shared" si="2"/>
        <v>0.02</v>
      </c>
      <c r="D160" s="80">
        <v>0</v>
      </c>
      <c r="E160" s="80">
        <v>0</v>
      </c>
      <c r="F160" s="81">
        <v>0</v>
      </c>
      <c r="G160" s="81">
        <v>0</v>
      </c>
    </row>
    <row r="161" ht="15.75" spans="1:7">
      <c r="A161" s="257" t="s">
        <v>195</v>
      </c>
      <c r="B161" s="258">
        <v>0.031</v>
      </c>
      <c r="C161" s="79">
        <f t="shared" si="2"/>
        <v>0.025</v>
      </c>
      <c r="D161" s="80">
        <v>0</v>
      </c>
      <c r="E161" s="80">
        <v>0</v>
      </c>
      <c r="F161" s="81">
        <v>0</v>
      </c>
      <c r="G161" s="81">
        <v>0</v>
      </c>
    </row>
    <row r="162" ht="15.75" spans="1:7">
      <c r="A162" s="257" t="s">
        <v>196</v>
      </c>
      <c r="B162" s="258">
        <v>0.046</v>
      </c>
      <c r="C162" s="79">
        <f t="shared" si="2"/>
        <v>0.031</v>
      </c>
      <c r="D162" s="80">
        <v>0</v>
      </c>
      <c r="E162" s="80">
        <v>0</v>
      </c>
      <c r="F162" s="81">
        <v>0</v>
      </c>
      <c r="G162" s="81">
        <v>0</v>
      </c>
    </row>
    <row r="163" ht="15.75" spans="1:7">
      <c r="A163" s="257" t="s">
        <v>197</v>
      </c>
      <c r="B163" s="258">
        <v>0.055</v>
      </c>
      <c r="C163" s="79">
        <f t="shared" si="2"/>
        <v>0.046</v>
      </c>
      <c r="D163" s="80">
        <v>0</v>
      </c>
      <c r="E163" s="80">
        <v>0</v>
      </c>
      <c r="F163" s="81">
        <v>0</v>
      </c>
      <c r="G163" s="81">
        <v>0</v>
      </c>
    </row>
    <row r="164" ht="15.75" spans="1:7">
      <c r="A164" s="257" t="s">
        <v>198</v>
      </c>
      <c r="B164" s="258">
        <v>0.068</v>
      </c>
      <c r="C164" s="79">
        <f t="shared" si="2"/>
        <v>0.055</v>
      </c>
      <c r="D164" s="80">
        <v>0</v>
      </c>
      <c r="E164" s="80">
        <v>0</v>
      </c>
      <c r="F164" s="81">
        <v>0</v>
      </c>
      <c r="G164" s="81">
        <v>0</v>
      </c>
    </row>
    <row r="165" ht="15.75" spans="1:7">
      <c r="A165" s="257" t="s">
        <v>199</v>
      </c>
      <c r="B165" s="258">
        <v>0.101</v>
      </c>
      <c r="C165" s="79">
        <f t="shared" si="2"/>
        <v>0.068</v>
      </c>
      <c r="D165" s="80">
        <v>0</v>
      </c>
      <c r="E165" s="80"/>
      <c r="F165" s="81">
        <v>0.0223960396039604</v>
      </c>
      <c r="G165" s="81">
        <v>0</v>
      </c>
    </row>
    <row r="166" ht="15.75" spans="1:7">
      <c r="A166" s="257" t="s">
        <v>200</v>
      </c>
      <c r="B166" s="258">
        <v>0.125</v>
      </c>
      <c r="C166" s="79">
        <f t="shared" si="2"/>
        <v>0.101</v>
      </c>
      <c r="D166" s="80">
        <v>0.06568</v>
      </c>
      <c r="E166" s="80"/>
      <c r="F166" s="81">
        <v>0.037296</v>
      </c>
      <c r="G166" s="81">
        <v>0</v>
      </c>
    </row>
    <row r="167" ht="15.75" spans="1:7">
      <c r="A167" s="257" t="s">
        <v>201</v>
      </c>
      <c r="B167" s="258">
        <v>0.142</v>
      </c>
      <c r="C167" s="79">
        <f t="shared" si="2"/>
        <v>0.125</v>
      </c>
      <c r="D167" s="80">
        <v>0.177535211267606</v>
      </c>
      <c r="E167" s="80">
        <v>0.0177535211267606</v>
      </c>
      <c r="F167" s="81">
        <v>0.0688169014084506</v>
      </c>
      <c r="G167" s="81">
        <v>0</v>
      </c>
    </row>
    <row r="168" ht="15.75" spans="1:7">
      <c r="A168" s="257" t="s">
        <v>202</v>
      </c>
      <c r="B168" s="258">
        <v>0.153</v>
      </c>
      <c r="C168" s="79">
        <f t="shared" si="2"/>
        <v>0.142</v>
      </c>
      <c r="D168" s="80">
        <v>0.236666666666667</v>
      </c>
      <c r="E168" s="80">
        <v>0.0236666666666667</v>
      </c>
      <c r="F168" s="81">
        <v>0.0926274509803921</v>
      </c>
      <c r="G168" s="81">
        <v>0</v>
      </c>
    </row>
    <row r="169" ht="15.75" spans="1:7">
      <c r="A169" s="257" t="s">
        <v>203</v>
      </c>
      <c r="B169" s="258">
        <v>0.175</v>
      </c>
      <c r="C169" s="79">
        <f t="shared" si="2"/>
        <v>0.153</v>
      </c>
      <c r="D169" s="80">
        <v>0.332628571428571</v>
      </c>
      <c r="E169" s="80">
        <v>0.0332628571428571</v>
      </c>
      <c r="F169" s="81">
        <v>0.131268571428571</v>
      </c>
      <c r="G169" s="81">
        <v>0</v>
      </c>
    </row>
    <row r="170" ht="15.75" spans="1:7">
      <c r="A170" s="257" t="s">
        <v>204</v>
      </c>
      <c r="B170" s="258">
        <v>0.188</v>
      </c>
      <c r="C170" s="79">
        <f t="shared" si="2"/>
        <v>0.175</v>
      </c>
      <c r="D170" s="80">
        <v>0.378776595744681</v>
      </c>
      <c r="E170" s="80">
        <v>0.0378776595744681</v>
      </c>
      <c r="F170" s="81">
        <v>0.149851063829787</v>
      </c>
      <c r="G170" s="81">
        <v>0</v>
      </c>
    </row>
    <row r="171" ht="15.75" spans="1:7">
      <c r="A171" s="257" t="s">
        <v>205</v>
      </c>
      <c r="B171" s="258">
        <v>0.212</v>
      </c>
      <c r="C171" s="79">
        <f t="shared" si="2"/>
        <v>0.188</v>
      </c>
      <c r="D171" s="80">
        <v>0.449103773584906</v>
      </c>
      <c r="E171" s="80">
        <v>0.0694622641509434</v>
      </c>
      <c r="F171" s="81">
        <v>0.178169811320755</v>
      </c>
      <c r="G171" s="81">
        <v>0</v>
      </c>
    </row>
    <row r="172" ht="15.75" spans="1:7">
      <c r="A172" s="257" t="s">
        <v>206</v>
      </c>
      <c r="B172" s="258">
        <v>0.265</v>
      </c>
      <c r="C172" s="79">
        <f t="shared" si="2"/>
        <v>0.212</v>
      </c>
      <c r="D172" s="80">
        <v>0.559283018867925</v>
      </c>
      <c r="E172" s="80">
        <v>0.135569811320755</v>
      </c>
      <c r="F172" s="81">
        <v>0.222535849056604</v>
      </c>
      <c r="G172" s="81">
        <v>0</v>
      </c>
    </row>
    <row r="173" ht="15.75" spans="1:7">
      <c r="A173" s="257" t="s">
        <v>207</v>
      </c>
      <c r="B173" s="258">
        <v>0.329</v>
      </c>
      <c r="C173" s="79">
        <f t="shared" si="2"/>
        <v>0.265</v>
      </c>
      <c r="D173" s="80">
        <v>0.645015197568389</v>
      </c>
      <c r="E173" s="80">
        <v>0.187009118541033</v>
      </c>
      <c r="F173" s="81">
        <v>0.257057750759878</v>
      </c>
      <c r="G173" s="81">
        <v>0</v>
      </c>
    </row>
    <row r="174" ht="15.75" spans="1:7">
      <c r="A174" s="257" t="s">
        <v>208</v>
      </c>
      <c r="B174" s="258">
        <v>0.388</v>
      </c>
      <c r="C174" s="79">
        <f t="shared" si="2"/>
        <v>0.329</v>
      </c>
      <c r="D174" s="80">
        <v>0.698994845360825</v>
      </c>
      <c r="E174" s="80">
        <v>0.219396907216495</v>
      </c>
      <c r="F174" s="81">
        <v>0.27879381443299</v>
      </c>
      <c r="G174" s="81">
        <v>0</v>
      </c>
    </row>
    <row r="175" ht="15.75" spans="1:7">
      <c r="A175" s="257" t="s">
        <v>209</v>
      </c>
      <c r="B175" s="258">
        <v>0.454</v>
      </c>
      <c r="C175" s="79">
        <f t="shared" si="2"/>
        <v>0.388</v>
      </c>
      <c r="D175" s="80">
        <v>0.742753303964758</v>
      </c>
      <c r="E175" s="80">
        <v>0.245651982378855</v>
      </c>
      <c r="F175" s="81">
        <v>0.2964140969163</v>
      </c>
      <c r="G175" s="81">
        <v>0</v>
      </c>
    </row>
    <row r="176" ht="15.75" spans="1:7">
      <c r="A176" s="257" t="s">
        <v>210</v>
      </c>
      <c r="B176" s="258">
        <v>0.495</v>
      </c>
      <c r="C176" s="79">
        <f t="shared" si="2"/>
        <v>0.454</v>
      </c>
      <c r="D176" s="80">
        <v>0.764060606060606</v>
      </c>
      <c r="E176" s="80">
        <v>0.258436363636364</v>
      </c>
      <c r="F176" s="81">
        <v>0.304993939393939</v>
      </c>
      <c r="G176" s="81">
        <v>0</v>
      </c>
    </row>
    <row r="177" ht="15.75" spans="1:7">
      <c r="A177" s="257" t="s">
        <v>211</v>
      </c>
      <c r="B177" s="258">
        <v>0.569</v>
      </c>
      <c r="C177" s="79">
        <f t="shared" si="2"/>
        <v>0.495</v>
      </c>
      <c r="D177" s="80">
        <v>0.794745166959578</v>
      </c>
      <c r="E177" s="80">
        <v>0.276847100175747</v>
      </c>
      <c r="F177" s="81">
        <v>0.317349736379613</v>
      </c>
      <c r="G177" s="81">
        <v>0</v>
      </c>
    </row>
    <row r="178" ht="15.75" spans="1:7">
      <c r="A178" s="257" t="s">
        <v>212</v>
      </c>
      <c r="B178" s="258">
        <v>0.671</v>
      </c>
      <c r="C178" s="79">
        <f t="shared" si="2"/>
        <v>0.569</v>
      </c>
      <c r="D178" s="80">
        <v>0.825946348733234</v>
      </c>
      <c r="E178" s="80">
        <v>0.29556780923994</v>
      </c>
      <c r="F178" s="81">
        <v>0.329913561847988</v>
      </c>
      <c r="G178" s="81">
        <v>0</v>
      </c>
    </row>
    <row r="179" ht="15.75" spans="1:7">
      <c r="A179" s="257" t="s">
        <v>213</v>
      </c>
      <c r="B179" s="258">
        <v>0.718</v>
      </c>
      <c r="C179" s="79">
        <f t="shared" si="2"/>
        <v>0.671</v>
      </c>
      <c r="D179" s="80">
        <v>0.837339832869081</v>
      </c>
      <c r="E179" s="80">
        <v>0.302403899721448</v>
      </c>
      <c r="F179" s="81">
        <v>0.33450139275766</v>
      </c>
      <c r="G179" s="81">
        <v>0</v>
      </c>
    </row>
    <row r="180" ht="15.75" spans="1:7">
      <c r="A180" s="257" t="s">
        <v>214</v>
      </c>
      <c r="B180" s="258">
        <v>0.77</v>
      </c>
      <c r="C180" s="79">
        <f t="shared" si="2"/>
        <v>0.718</v>
      </c>
      <c r="D180" s="80">
        <v>0.848324675324675</v>
      </c>
      <c r="E180" s="80">
        <v>0.308994805194805</v>
      </c>
      <c r="F180" s="81">
        <v>0.338924675324675</v>
      </c>
      <c r="G180" s="81">
        <v>0</v>
      </c>
    </row>
    <row r="181" ht="15.75" spans="1:7">
      <c r="A181" s="257" t="s">
        <v>215</v>
      </c>
      <c r="B181" s="258">
        <v>0.821</v>
      </c>
      <c r="C181" s="79">
        <f t="shared" si="2"/>
        <v>0.77</v>
      </c>
      <c r="D181" s="80">
        <v>0.857746650426309</v>
      </c>
      <c r="E181" s="80">
        <v>0.314647990255786</v>
      </c>
      <c r="F181" s="81">
        <v>0.342718635809988</v>
      </c>
      <c r="G181" s="81">
        <v>0</v>
      </c>
    </row>
    <row r="182" ht="15.75" spans="1:7">
      <c r="A182" s="257" t="s">
        <v>216</v>
      </c>
      <c r="B182" s="258">
        <v>0.874</v>
      </c>
      <c r="C182" s="79">
        <f t="shared" si="2"/>
        <v>0.821</v>
      </c>
      <c r="D182" s="80">
        <v>0.86637299771167</v>
      </c>
      <c r="E182" s="80">
        <v>0.319823798627002</v>
      </c>
      <c r="F182" s="81">
        <v>0.346192219679634</v>
      </c>
      <c r="G182" s="81">
        <v>0</v>
      </c>
    </row>
    <row r="183" ht="15.75" spans="1:7">
      <c r="A183" s="257" t="s">
        <v>217</v>
      </c>
      <c r="B183" s="258">
        <v>1.003</v>
      </c>
      <c r="C183" s="79">
        <f t="shared" si="2"/>
        <v>0.874</v>
      </c>
      <c r="D183" s="80">
        <v>0.883559322033898</v>
      </c>
      <c r="E183" s="80">
        <v>0.330135593220339</v>
      </c>
      <c r="F183" s="81">
        <v>0.353112662013958</v>
      </c>
      <c r="G183" s="81">
        <v>0</v>
      </c>
    </row>
    <row r="184" ht="15.75" spans="1:7">
      <c r="A184" s="257" t="s">
        <v>218</v>
      </c>
      <c r="B184" s="258">
        <v>1.294</v>
      </c>
      <c r="C184" s="79">
        <f t="shared" si="2"/>
        <v>1.003</v>
      </c>
      <c r="D184" s="80">
        <v>0.909744976816074</v>
      </c>
      <c r="E184" s="80">
        <v>0.345846986089645</v>
      </c>
      <c r="F184" s="81">
        <v>0.363656877897991</v>
      </c>
      <c r="G184" s="81">
        <v>0.00726429675425039</v>
      </c>
    </row>
    <row r="185" ht="15.75" spans="1:7">
      <c r="A185" s="257" t="s">
        <v>219</v>
      </c>
      <c r="B185" s="258">
        <v>1.647</v>
      </c>
      <c r="C185" s="79">
        <f t="shared" si="2"/>
        <v>1.294</v>
      </c>
      <c r="D185" s="80">
        <v>0.929089253187614</v>
      </c>
      <c r="E185" s="80">
        <v>0.357453551912568</v>
      </c>
      <c r="F185" s="81">
        <v>0.371446265938069</v>
      </c>
      <c r="G185" s="81">
        <v>0.0271402550091075</v>
      </c>
    </row>
    <row r="186" ht="15.75" spans="1:7">
      <c r="A186" s="257" t="s">
        <v>220</v>
      </c>
      <c r="B186" s="258">
        <v>3.016</v>
      </c>
      <c r="C186" s="79">
        <f t="shared" si="2"/>
        <v>1.647</v>
      </c>
      <c r="D186" s="80">
        <v>0.961276525198939</v>
      </c>
      <c r="E186" s="80">
        <v>0.376765915119363</v>
      </c>
      <c r="F186" s="81">
        <v>0.384407161803714</v>
      </c>
      <c r="G186" s="81">
        <v>0.161273209549072</v>
      </c>
    </row>
    <row r="187" ht="15.75" spans="1:7">
      <c r="A187" s="257" t="s">
        <v>221</v>
      </c>
      <c r="B187" s="259">
        <v>7.286</v>
      </c>
      <c r="C187" s="79">
        <f t="shared" si="2"/>
        <v>3.016</v>
      </c>
      <c r="D187" s="80">
        <v>0.9839706286028</v>
      </c>
      <c r="E187" s="80">
        <v>0.39038237716168</v>
      </c>
      <c r="F187" s="81">
        <v>0.393545429590996</v>
      </c>
      <c r="G187" s="81">
        <v>0.301180345868789</v>
      </c>
    </row>
    <row r="188" ht="15.75" spans="1:7">
      <c r="A188" s="257" t="s">
        <v>221</v>
      </c>
      <c r="B188" s="257" t="s">
        <v>392</v>
      </c>
      <c r="C188" s="79">
        <f t="shared" si="2"/>
        <v>7.286</v>
      </c>
      <c r="D188" s="260"/>
      <c r="E188" s="72"/>
      <c r="F188" s="73"/>
      <c r="G188" s="84"/>
    </row>
    <row r="189" ht="15.75" spans="1:7">
      <c r="A189" s="257"/>
      <c r="B189" s="257"/>
      <c r="C189" s="116"/>
      <c r="D189" s="260"/>
      <c r="E189" s="261">
        <v>0.0970704995694704</v>
      </c>
      <c r="F189" s="262">
        <v>0.118319798163518</v>
      </c>
      <c r="G189" s="262">
        <v>0.00993716214362438</v>
      </c>
    </row>
    <row r="190" ht="48.75" spans="1:7">
      <c r="A190" s="256" t="s">
        <v>233</v>
      </c>
      <c r="B190" s="257">
        <v>0.9</v>
      </c>
      <c r="C190" s="116"/>
      <c r="D190" s="260"/>
      <c r="E190" s="263">
        <v>0.19465</v>
      </c>
      <c r="F190" s="264">
        <v>0.130633333333333</v>
      </c>
      <c r="G190" s="265">
        <v>0.9</v>
      </c>
    </row>
    <row r="191" ht="48.75" spans="1:7">
      <c r="A191" s="256" t="s">
        <v>224</v>
      </c>
      <c r="B191" s="116">
        <v>0.44</v>
      </c>
      <c r="C191" s="116"/>
      <c r="D191" s="72"/>
      <c r="E191" s="72"/>
      <c r="F191" s="73"/>
      <c r="G191" s="73"/>
    </row>
    <row r="192" ht="84.75" spans="1:7">
      <c r="A192" s="266" t="s">
        <v>225</v>
      </c>
      <c r="B192" s="116">
        <v>0.5</v>
      </c>
      <c r="C192" s="116"/>
      <c r="D192" s="72"/>
      <c r="E192" s="72">
        <v>0.11679</v>
      </c>
      <c r="F192" s="73">
        <v>0.07838</v>
      </c>
      <c r="G192" s="73">
        <v>0.54</v>
      </c>
    </row>
    <row r="195" spans="1:3">
      <c r="A195" s="531" t="s">
        <v>226</v>
      </c>
      <c r="B195" s="95">
        <f>AVERAGE(B143:B182)</f>
        <v>0.19465</v>
      </c>
      <c r="C195" s="95"/>
    </row>
    <row r="196" spans="1:3">
      <c r="A196" s="531" t="s">
        <v>227</v>
      </c>
      <c r="B196" s="96">
        <f>AVERAGE(B148:B177)</f>
        <v>0.130633333333333</v>
      </c>
      <c r="C196" s="96"/>
    </row>
    <row r="197" spans="1:3">
      <c r="A197" s="531" t="s">
        <v>228</v>
      </c>
      <c r="B197" s="96">
        <f>AVERAGE(B154:B172)</f>
        <v>0.0872105263157895</v>
      </c>
      <c r="C197" s="96"/>
    </row>
    <row r="200" customHeight="1" spans="1:7">
      <c r="A200" s="83" t="s">
        <v>165</v>
      </c>
      <c r="B200" s="83" t="s">
        <v>234</v>
      </c>
      <c r="C200" s="83"/>
      <c r="D200" s="83"/>
      <c r="E200" s="86">
        <f>(1-E255)^(1/3)-1</f>
        <v>-0.0317261445561586</v>
      </c>
      <c r="F200" s="86">
        <f>(1-F255)^(1/3)-1</f>
        <v>-0.0368446240586788</v>
      </c>
      <c r="G200" s="86"/>
    </row>
    <row r="201" ht="72" spans="1:7">
      <c r="A201" s="83"/>
      <c r="B201" s="83" t="s">
        <v>167</v>
      </c>
      <c r="C201" s="83"/>
      <c r="D201" s="83" t="s">
        <v>168</v>
      </c>
      <c r="E201" s="83" t="s">
        <v>169</v>
      </c>
      <c r="F201" s="84" t="s">
        <v>169</v>
      </c>
      <c r="G201" s="84"/>
    </row>
    <row r="202" ht="24" spans="1:7">
      <c r="A202" s="83"/>
      <c r="B202" s="83" t="s">
        <v>235</v>
      </c>
      <c r="C202" s="83"/>
      <c r="D202" s="83" t="s">
        <v>171</v>
      </c>
      <c r="E202" s="534" t="s">
        <v>227</v>
      </c>
      <c r="F202" s="84"/>
      <c r="G202" s="267"/>
    </row>
    <row r="203" spans="1:7">
      <c r="A203" s="75">
        <v>1</v>
      </c>
      <c r="B203" s="76">
        <v>2</v>
      </c>
      <c r="C203" s="76"/>
      <c r="D203" s="76">
        <v>3</v>
      </c>
      <c r="E203" s="76">
        <v>4</v>
      </c>
      <c r="F203" s="77">
        <v>5</v>
      </c>
      <c r="G203" s="77"/>
    </row>
    <row r="204" spans="1:7">
      <c r="A204" s="530" t="s">
        <v>172</v>
      </c>
      <c r="B204" s="93">
        <v>0.12</v>
      </c>
      <c r="C204" s="89">
        <v>0</v>
      </c>
      <c r="D204" s="80">
        <v>0</v>
      </c>
      <c r="E204" s="80">
        <v>0</v>
      </c>
      <c r="F204" s="81">
        <v>0</v>
      </c>
      <c r="G204" s="81">
        <v>0</v>
      </c>
    </row>
    <row r="205" spans="1:7">
      <c r="A205" s="530" t="s">
        <v>173</v>
      </c>
      <c r="B205" s="93">
        <v>0.13</v>
      </c>
      <c r="C205" s="79">
        <f>B204</f>
        <v>0.12</v>
      </c>
      <c r="D205" s="80">
        <v>0</v>
      </c>
      <c r="E205" s="80">
        <v>0</v>
      </c>
      <c r="F205" s="81">
        <v>0</v>
      </c>
      <c r="G205" s="81">
        <v>0</v>
      </c>
    </row>
    <row r="206" spans="1:7">
      <c r="A206" s="530" t="s">
        <v>174</v>
      </c>
      <c r="B206" s="93">
        <v>0.15</v>
      </c>
      <c r="C206" s="79">
        <f t="shared" ref="C206:C254" si="3">B205</f>
        <v>0.13</v>
      </c>
      <c r="D206" s="80">
        <v>0</v>
      </c>
      <c r="E206" s="80">
        <v>0</v>
      </c>
      <c r="F206" s="81">
        <v>0</v>
      </c>
      <c r="G206" s="81">
        <v>0</v>
      </c>
    </row>
    <row r="207" spans="1:7">
      <c r="A207" s="530" t="s">
        <v>175</v>
      </c>
      <c r="B207" s="93">
        <v>0.17</v>
      </c>
      <c r="C207" s="79">
        <f t="shared" si="3"/>
        <v>0.15</v>
      </c>
      <c r="D207" s="80">
        <v>0</v>
      </c>
      <c r="E207" s="80">
        <v>0</v>
      </c>
      <c r="F207" s="81">
        <v>0</v>
      </c>
      <c r="G207" s="81">
        <v>0</v>
      </c>
    </row>
    <row r="208" spans="1:7">
      <c r="A208" s="530" t="s">
        <v>176</v>
      </c>
      <c r="B208" s="93">
        <v>0.2</v>
      </c>
      <c r="C208" s="79">
        <f t="shared" si="3"/>
        <v>0.17</v>
      </c>
      <c r="D208" s="80">
        <v>0</v>
      </c>
      <c r="E208" s="80">
        <v>0</v>
      </c>
      <c r="F208" s="81">
        <v>0</v>
      </c>
      <c r="G208" s="81">
        <v>0</v>
      </c>
    </row>
    <row r="209" spans="1:7">
      <c r="A209" s="530" t="s">
        <v>177</v>
      </c>
      <c r="B209" s="93">
        <v>0.22</v>
      </c>
      <c r="C209" s="79">
        <f t="shared" si="3"/>
        <v>0.2</v>
      </c>
      <c r="D209" s="80">
        <v>0</v>
      </c>
      <c r="E209" s="80">
        <v>0</v>
      </c>
      <c r="F209" s="81">
        <v>0</v>
      </c>
      <c r="G209" s="81">
        <v>0</v>
      </c>
    </row>
    <row r="210" spans="1:7">
      <c r="A210" s="530" t="s">
        <v>178</v>
      </c>
      <c r="B210" s="93">
        <v>0.25</v>
      </c>
      <c r="C210" s="79">
        <f t="shared" si="3"/>
        <v>0.22</v>
      </c>
      <c r="D210" s="80">
        <v>0</v>
      </c>
      <c r="E210" s="80">
        <v>0</v>
      </c>
      <c r="F210" s="81">
        <v>0</v>
      </c>
      <c r="G210" s="81">
        <v>0</v>
      </c>
    </row>
    <row r="211" spans="1:7">
      <c r="A211" s="78" t="s">
        <v>179</v>
      </c>
      <c r="B211" s="93">
        <v>0.27</v>
      </c>
      <c r="C211" s="79">
        <f t="shared" si="3"/>
        <v>0.25</v>
      </c>
      <c r="D211" s="80">
        <v>0</v>
      </c>
      <c r="E211" s="80">
        <v>0</v>
      </c>
      <c r="F211" s="81">
        <v>0</v>
      </c>
      <c r="G211" s="81">
        <v>0</v>
      </c>
    </row>
    <row r="212" spans="1:7">
      <c r="A212" s="78" t="s">
        <v>180</v>
      </c>
      <c r="B212" s="93">
        <v>0.3</v>
      </c>
      <c r="C212" s="79">
        <f t="shared" si="3"/>
        <v>0.27</v>
      </c>
      <c r="D212" s="80">
        <v>0</v>
      </c>
      <c r="E212" s="80">
        <v>0</v>
      </c>
      <c r="F212" s="81">
        <v>0</v>
      </c>
      <c r="G212" s="81">
        <v>0</v>
      </c>
    </row>
    <row r="213" spans="1:7">
      <c r="A213" s="78" t="s">
        <v>181</v>
      </c>
      <c r="B213" s="93">
        <v>0.33</v>
      </c>
      <c r="C213" s="79">
        <f t="shared" si="3"/>
        <v>0.3</v>
      </c>
      <c r="D213" s="80">
        <v>0</v>
      </c>
      <c r="E213" s="80">
        <v>0</v>
      </c>
      <c r="F213" s="81">
        <v>0</v>
      </c>
      <c r="G213" s="81">
        <v>0</v>
      </c>
    </row>
    <row r="214" spans="1:7">
      <c r="A214" s="78" t="s">
        <v>182</v>
      </c>
      <c r="B214" s="93">
        <v>0.36</v>
      </c>
      <c r="C214" s="79">
        <f t="shared" si="3"/>
        <v>0.33</v>
      </c>
      <c r="D214" s="80">
        <v>0</v>
      </c>
      <c r="E214" s="80">
        <v>0</v>
      </c>
      <c r="F214" s="81">
        <v>0</v>
      </c>
      <c r="G214" s="81">
        <v>0</v>
      </c>
    </row>
    <row r="215" spans="1:7">
      <c r="A215" s="78" t="s">
        <v>183</v>
      </c>
      <c r="B215" s="93">
        <v>0.39</v>
      </c>
      <c r="C215" s="79">
        <f t="shared" si="3"/>
        <v>0.36</v>
      </c>
      <c r="D215" s="80">
        <v>0</v>
      </c>
      <c r="E215" s="80">
        <v>0</v>
      </c>
      <c r="F215" s="81">
        <v>0</v>
      </c>
      <c r="G215" s="81">
        <v>0</v>
      </c>
    </row>
    <row r="216" spans="1:7">
      <c r="A216" s="78" t="s">
        <v>184</v>
      </c>
      <c r="B216" s="93">
        <v>0.43</v>
      </c>
      <c r="C216" s="79">
        <f t="shared" si="3"/>
        <v>0.39</v>
      </c>
      <c r="D216" s="80">
        <v>0</v>
      </c>
      <c r="E216" s="80">
        <v>0</v>
      </c>
      <c r="F216" s="81">
        <v>0</v>
      </c>
      <c r="G216" s="81">
        <v>0</v>
      </c>
    </row>
    <row r="217" spans="1:7">
      <c r="A217" s="78" t="s">
        <v>185</v>
      </c>
      <c r="B217" s="93">
        <v>0.46</v>
      </c>
      <c r="C217" s="79">
        <f t="shared" si="3"/>
        <v>0.43</v>
      </c>
      <c r="D217" s="80">
        <v>0</v>
      </c>
      <c r="E217" s="80">
        <v>0</v>
      </c>
      <c r="F217" s="81">
        <v>0</v>
      </c>
      <c r="G217" s="81">
        <v>0</v>
      </c>
    </row>
    <row r="218" spans="1:7">
      <c r="A218" s="78" t="s">
        <v>186</v>
      </c>
      <c r="B218" s="93">
        <v>0.5</v>
      </c>
      <c r="C218" s="79">
        <f t="shared" si="3"/>
        <v>0.46</v>
      </c>
      <c r="D218" s="80">
        <v>0</v>
      </c>
      <c r="E218" s="80">
        <v>0</v>
      </c>
      <c r="F218" s="81">
        <v>0</v>
      </c>
      <c r="G218" s="81">
        <v>0</v>
      </c>
    </row>
    <row r="219" spans="1:7">
      <c r="A219" s="78" t="s">
        <v>187</v>
      </c>
      <c r="B219" s="93">
        <v>0.53</v>
      </c>
      <c r="C219" s="79">
        <f t="shared" si="3"/>
        <v>0.5</v>
      </c>
      <c r="D219" s="80">
        <v>0</v>
      </c>
      <c r="E219" s="80">
        <v>0</v>
      </c>
      <c r="F219" s="81">
        <v>0</v>
      </c>
      <c r="G219" s="81">
        <v>0</v>
      </c>
    </row>
    <row r="220" spans="1:7">
      <c r="A220" s="78" t="s">
        <v>188</v>
      </c>
      <c r="B220" s="93">
        <v>0.57</v>
      </c>
      <c r="C220" s="79">
        <f t="shared" si="3"/>
        <v>0.53</v>
      </c>
      <c r="D220" s="80">
        <v>0</v>
      </c>
      <c r="E220" s="80">
        <v>0</v>
      </c>
      <c r="F220" s="81">
        <v>0</v>
      </c>
      <c r="G220" s="81">
        <v>0</v>
      </c>
    </row>
    <row r="221" spans="1:7">
      <c r="A221" s="78" t="s">
        <v>189</v>
      </c>
      <c r="B221" s="93">
        <v>0.6</v>
      </c>
      <c r="C221" s="79">
        <f t="shared" si="3"/>
        <v>0.57</v>
      </c>
      <c r="D221" s="80">
        <v>0</v>
      </c>
      <c r="E221" s="80">
        <v>0</v>
      </c>
      <c r="F221" s="81">
        <v>0</v>
      </c>
      <c r="G221" s="81">
        <v>0</v>
      </c>
    </row>
    <row r="222" spans="1:7">
      <c r="A222" s="78" t="s">
        <v>190</v>
      </c>
      <c r="B222" s="93">
        <v>0.64</v>
      </c>
      <c r="C222" s="79">
        <f t="shared" si="3"/>
        <v>0.6</v>
      </c>
      <c r="D222" s="80">
        <v>0</v>
      </c>
      <c r="E222" s="80">
        <v>0</v>
      </c>
      <c r="F222" s="81">
        <v>0</v>
      </c>
      <c r="G222" s="81">
        <v>0</v>
      </c>
    </row>
    <row r="223" spans="1:7">
      <c r="A223" s="78" t="s">
        <v>191</v>
      </c>
      <c r="B223" s="93">
        <v>0.69</v>
      </c>
      <c r="C223" s="79">
        <f t="shared" si="3"/>
        <v>0.64</v>
      </c>
      <c r="D223" s="80">
        <v>0</v>
      </c>
      <c r="E223" s="80">
        <v>0</v>
      </c>
      <c r="F223" s="81">
        <v>0</v>
      </c>
      <c r="G223" s="81">
        <v>0</v>
      </c>
    </row>
    <row r="224" spans="1:7">
      <c r="A224" s="78" t="s">
        <v>192</v>
      </c>
      <c r="B224" s="93">
        <v>0.73</v>
      </c>
      <c r="C224" s="79">
        <f t="shared" si="3"/>
        <v>0.69</v>
      </c>
      <c r="D224" s="80">
        <v>0</v>
      </c>
      <c r="E224" s="80">
        <v>0</v>
      </c>
      <c r="F224" s="81">
        <v>0.00473972602739727</v>
      </c>
      <c r="G224" s="81">
        <v>0</v>
      </c>
    </row>
    <row r="225" spans="1:7">
      <c r="A225" s="78" t="s">
        <v>193</v>
      </c>
      <c r="B225" s="93">
        <v>0.78</v>
      </c>
      <c r="C225" s="79">
        <f t="shared" si="3"/>
        <v>0.73</v>
      </c>
      <c r="D225" s="80">
        <v>0</v>
      </c>
      <c r="E225" s="80">
        <v>0</v>
      </c>
      <c r="F225" s="81">
        <v>0.0108461538461539</v>
      </c>
      <c r="G225" s="81">
        <v>0</v>
      </c>
    </row>
    <row r="226" spans="1:7">
      <c r="A226" s="78" t="s">
        <v>194</v>
      </c>
      <c r="B226" s="93">
        <v>0.82</v>
      </c>
      <c r="C226" s="79">
        <f t="shared" si="3"/>
        <v>0.78</v>
      </c>
      <c r="D226" s="80">
        <v>0</v>
      </c>
      <c r="E226" s="80">
        <v>0</v>
      </c>
      <c r="F226" s="81">
        <v>0.0151951219512195</v>
      </c>
      <c r="G226" s="81">
        <v>0</v>
      </c>
    </row>
    <row r="227" spans="1:7">
      <c r="A227" s="78" t="s">
        <v>195</v>
      </c>
      <c r="B227" s="93">
        <v>0.89</v>
      </c>
      <c r="C227" s="79">
        <f t="shared" si="3"/>
        <v>0.82</v>
      </c>
      <c r="D227" s="80">
        <v>0.0737078651685393</v>
      </c>
      <c r="E227" s="80"/>
      <c r="F227" s="81">
        <v>0.0218651685393259</v>
      </c>
      <c r="G227" s="81">
        <v>0</v>
      </c>
    </row>
    <row r="228" spans="1:7">
      <c r="A228" s="78" t="s">
        <v>196</v>
      </c>
      <c r="B228" s="93">
        <v>0.96</v>
      </c>
      <c r="C228" s="79">
        <f t="shared" si="3"/>
        <v>0.89</v>
      </c>
      <c r="D228" s="80">
        <v>0.14125</v>
      </c>
      <c r="E228" s="80">
        <v>0.014125</v>
      </c>
      <c r="F228" s="81">
        <v>0.0275625</v>
      </c>
      <c r="G228" s="81">
        <v>0</v>
      </c>
    </row>
    <row r="229" spans="1:7">
      <c r="A229" s="78" t="s">
        <v>197</v>
      </c>
      <c r="B229" s="93">
        <v>1.02</v>
      </c>
      <c r="C229" s="79">
        <f t="shared" si="3"/>
        <v>0.96</v>
      </c>
      <c r="D229" s="80">
        <v>0.191764705882353</v>
      </c>
      <c r="E229" s="80">
        <v>0.0191764705882353</v>
      </c>
      <c r="F229" s="81">
        <v>0.0318235294117647</v>
      </c>
      <c r="G229" s="81">
        <v>0</v>
      </c>
    </row>
    <row r="230" spans="1:7">
      <c r="A230" s="78" t="s">
        <v>198</v>
      </c>
      <c r="B230" s="93">
        <v>1.1</v>
      </c>
      <c r="C230" s="79">
        <f t="shared" si="3"/>
        <v>1.02</v>
      </c>
      <c r="D230" s="80">
        <v>0.250545454545455</v>
      </c>
      <c r="E230" s="80">
        <v>0.0250545454545455</v>
      </c>
      <c r="F230" s="81">
        <v>0.0367818181818182</v>
      </c>
      <c r="G230" s="81">
        <v>0</v>
      </c>
    </row>
    <row r="231" spans="1:7">
      <c r="A231" s="78" t="s">
        <v>199</v>
      </c>
      <c r="B231" s="93">
        <v>1.14</v>
      </c>
      <c r="C231" s="79">
        <f t="shared" si="3"/>
        <v>1.1</v>
      </c>
      <c r="D231" s="80">
        <v>0.276842105263158</v>
      </c>
      <c r="E231" s="80">
        <v>0.0276842105263158</v>
      </c>
      <c r="F231" s="81">
        <v>0.039</v>
      </c>
      <c r="G231" s="81">
        <v>0</v>
      </c>
    </row>
    <row r="232" spans="1:7">
      <c r="A232" s="78" t="s">
        <v>200</v>
      </c>
      <c r="B232" s="93">
        <v>1.21</v>
      </c>
      <c r="C232" s="79">
        <f t="shared" si="3"/>
        <v>1.14</v>
      </c>
      <c r="D232" s="80">
        <v>0.318677685950413</v>
      </c>
      <c r="E232" s="80">
        <v>0.0318677685950413</v>
      </c>
      <c r="F232" s="81">
        <v>0.0551735537190083</v>
      </c>
      <c r="G232" s="81">
        <v>0.000826446280991736</v>
      </c>
    </row>
    <row r="233" spans="1:7">
      <c r="A233" s="78" t="s">
        <v>201</v>
      </c>
      <c r="B233" s="93">
        <v>1.3</v>
      </c>
      <c r="C233" s="79">
        <f t="shared" si="3"/>
        <v>1.21</v>
      </c>
      <c r="D233" s="80">
        <v>0.365846153846154</v>
      </c>
      <c r="E233" s="80">
        <v>0.0365846153846154</v>
      </c>
      <c r="F233" s="81">
        <v>0.0790461538461539</v>
      </c>
      <c r="G233" s="81">
        <v>0.0076923076923077</v>
      </c>
    </row>
    <row r="234" spans="1:7">
      <c r="A234" s="78" t="s">
        <v>202</v>
      </c>
      <c r="B234" s="93">
        <v>1.4</v>
      </c>
      <c r="C234" s="79">
        <f t="shared" si="3"/>
        <v>1.3</v>
      </c>
      <c r="D234" s="80">
        <v>0.411142857142857</v>
      </c>
      <c r="E234" s="80">
        <v>0.0466857142857142</v>
      </c>
      <c r="F234" s="81">
        <v>0.101971428571429</v>
      </c>
      <c r="G234" s="81">
        <v>0.0142857142857143</v>
      </c>
    </row>
    <row r="235" spans="1:7">
      <c r="A235" s="78" t="s">
        <v>203</v>
      </c>
      <c r="B235" s="93">
        <v>1.51</v>
      </c>
      <c r="C235" s="79">
        <f t="shared" si="3"/>
        <v>1.4</v>
      </c>
      <c r="D235" s="80">
        <v>0.454039735099338</v>
      </c>
      <c r="E235" s="80">
        <v>0.0724238410596026</v>
      </c>
      <c r="F235" s="81">
        <v>0.123682119205298</v>
      </c>
      <c r="G235" s="81">
        <v>0.0205298013245033</v>
      </c>
    </row>
    <row r="236" spans="1:7">
      <c r="A236" s="78" t="s">
        <v>204</v>
      </c>
      <c r="B236" s="93">
        <v>1.61</v>
      </c>
      <c r="C236" s="79">
        <f t="shared" si="3"/>
        <v>1.51</v>
      </c>
      <c r="D236" s="80">
        <v>0.487950310559006</v>
      </c>
      <c r="E236" s="80">
        <v>0.0927701863354037</v>
      </c>
      <c r="F236" s="81">
        <v>0.140844720496894</v>
      </c>
      <c r="G236" s="81">
        <v>0.0254658385093168</v>
      </c>
    </row>
    <row r="237" spans="1:7">
      <c r="A237" s="78" t="s">
        <v>205</v>
      </c>
      <c r="B237" s="93">
        <v>1.74</v>
      </c>
      <c r="C237" s="79">
        <f t="shared" si="3"/>
        <v>1.61</v>
      </c>
      <c r="D237" s="80">
        <v>0.526206896551724</v>
      </c>
      <c r="E237" s="80">
        <v>0.115724137931034</v>
      </c>
      <c r="F237" s="81">
        <v>0.160206896551724</v>
      </c>
      <c r="G237" s="81">
        <v>0.0310344827586207</v>
      </c>
    </row>
    <row r="238" spans="1:7">
      <c r="A238" s="78" t="s">
        <v>206</v>
      </c>
      <c r="B238" s="93">
        <v>1.85</v>
      </c>
      <c r="C238" s="79">
        <f t="shared" si="3"/>
        <v>1.74</v>
      </c>
      <c r="D238" s="80">
        <v>0.554378378378378</v>
      </c>
      <c r="E238" s="80">
        <v>0.132627027027027</v>
      </c>
      <c r="F238" s="81">
        <v>0.174464864864865</v>
      </c>
      <c r="G238" s="81">
        <v>0.0351351351351351</v>
      </c>
    </row>
    <row r="239" spans="1:7">
      <c r="A239" s="78" t="s">
        <v>207</v>
      </c>
      <c r="B239" s="93">
        <v>1.97</v>
      </c>
      <c r="C239" s="79">
        <f t="shared" si="3"/>
        <v>1.85</v>
      </c>
      <c r="D239" s="80">
        <v>0.581522842639594</v>
      </c>
      <c r="E239" s="80">
        <v>0.148913705583756</v>
      </c>
      <c r="F239" s="81">
        <v>0.188203045685279</v>
      </c>
      <c r="G239" s="81">
        <v>0.0390862944162437</v>
      </c>
    </row>
    <row r="240" spans="1:7">
      <c r="A240" s="78" t="s">
        <v>208</v>
      </c>
      <c r="B240" s="93">
        <v>2.13</v>
      </c>
      <c r="C240" s="79">
        <f t="shared" si="3"/>
        <v>1.97</v>
      </c>
      <c r="D240" s="80">
        <v>0.612957746478873</v>
      </c>
      <c r="E240" s="80">
        <v>0.167774647887324</v>
      </c>
      <c r="F240" s="81">
        <v>0.204112676056338</v>
      </c>
      <c r="G240" s="81">
        <v>0.0619718309859155</v>
      </c>
    </row>
    <row r="241" spans="1:7">
      <c r="A241" s="78" t="s">
        <v>209</v>
      </c>
      <c r="B241" s="93">
        <v>2.33</v>
      </c>
      <c r="C241" s="79">
        <f t="shared" si="3"/>
        <v>2.13</v>
      </c>
      <c r="D241" s="80">
        <v>0.64618025751073</v>
      </c>
      <c r="E241" s="80">
        <v>0.187708154506438</v>
      </c>
      <c r="F241" s="81">
        <v>0.220927038626609</v>
      </c>
      <c r="G241" s="81">
        <v>0.0909871244635193</v>
      </c>
    </row>
    <row r="242" spans="1:7">
      <c r="A242" s="78" t="s">
        <v>210</v>
      </c>
      <c r="B242" s="93">
        <v>2.46</v>
      </c>
      <c r="C242" s="79">
        <f t="shared" si="3"/>
        <v>2.33</v>
      </c>
      <c r="D242" s="80">
        <v>0.664878048780488</v>
      </c>
      <c r="E242" s="80">
        <v>0.198926829268293</v>
      </c>
      <c r="F242" s="81">
        <v>0.230390243902439</v>
      </c>
      <c r="G242" s="81">
        <v>0.107317073170732</v>
      </c>
    </row>
    <row r="243" spans="1:7">
      <c r="A243" s="78" t="s">
        <v>211</v>
      </c>
      <c r="B243" s="93">
        <v>2.65</v>
      </c>
      <c r="C243" s="79">
        <f t="shared" si="3"/>
        <v>2.46</v>
      </c>
      <c r="D243" s="80">
        <v>0.688905660377358</v>
      </c>
      <c r="E243" s="80">
        <v>0.213343396226415</v>
      </c>
      <c r="F243" s="81">
        <v>0.242550943396226</v>
      </c>
      <c r="G243" s="81">
        <v>0.128301886792453</v>
      </c>
    </row>
    <row r="244" spans="1:7">
      <c r="A244" s="78" t="s">
        <v>212</v>
      </c>
      <c r="B244" s="93">
        <v>2.89</v>
      </c>
      <c r="C244" s="79">
        <f t="shared" si="3"/>
        <v>2.65</v>
      </c>
      <c r="D244" s="80">
        <v>0.714740484429066</v>
      </c>
      <c r="E244" s="80">
        <v>0.228844290657439</v>
      </c>
      <c r="F244" s="81">
        <v>0.255626297577855</v>
      </c>
      <c r="G244" s="81">
        <v>0.150865051903114</v>
      </c>
    </row>
    <row r="245" spans="1:7">
      <c r="A245" s="78" t="s">
        <v>213</v>
      </c>
      <c r="B245" s="93">
        <v>3.2</v>
      </c>
      <c r="C245" s="79">
        <f t="shared" si="3"/>
        <v>2.89</v>
      </c>
      <c r="D245" s="80">
        <v>0.742375</v>
      </c>
      <c r="E245" s="80">
        <v>0.245425</v>
      </c>
      <c r="F245" s="81">
        <v>0.2696125</v>
      </c>
      <c r="G245" s="81">
        <v>0.175</v>
      </c>
    </row>
    <row r="246" spans="1:7">
      <c r="A246" s="78" t="s">
        <v>214</v>
      </c>
      <c r="B246" s="93">
        <v>3.6</v>
      </c>
      <c r="C246" s="79">
        <f t="shared" si="3"/>
        <v>3.2</v>
      </c>
      <c r="D246" s="80">
        <v>0.771</v>
      </c>
      <c r="E246" s="80">
        <v>0.2626</v>
      </c>
      <c r="F246" s="81">
        <v>0.2841</v>
      </c>
      <c r="G246" s="81">
        <v>0.2</v>
      </c>
    </row>
    <row r="247" spans="1:7">
      <c r="A247" s="78" t="s">
        <v>215</v>
      </c>
      <c r="B247" s="93">
        <v>4.17</v>
      </c>
      <c r="C247" s="79">
        <f t="shared" si="3"/>
        <v>3.6</v>
      </c>
      <c r="D247" s="80">
        <v>0.802302158273381</v>
      </c>
      <c r="E247" s="80">
        <v>0.281381294964029</v>
      </c>
      <c r="F247" s="81">
        <v>0.299942446043166</v>
      </c>
      <c r="G247" s="81">
        <v>0.227338129496403</v>
      </c>
    </row>
    <row r="248" spans="1:7">
      <c r="A248" s="78" t="s">
        <v>216</v>
      </c>
      <c r="B248" s="93">
        <v>4.96</v>
      </c>
      <c r="C248" s="79">
        <f t="shared" si="3"/>
        <v>4.17</v>
      </c>
      <c r="D248" s="80">
        <v>0.833790322580645</v>
      </c>
      <c r="E248" s="80">
        <v>0.300274193548387</v>
      </c>
      <c r="F248" s="81">
        <v>0.315879032258065</v>
      </c>
      <c r="G248" s="81">
        <v>0.254838709677419</v>
      </c>
    </row>
    <row r="249" spans="1:7">
      <c r="A249" s="78" t="s">
        <v>217</v>
      </c>
      <c r="B249" s="93">
        <v>5.63</v>
      </c>
      <c r="C249" s="79">
        <f t="shared" si="3"/>
        <v>4.96</v>
      </c>
      <c r="D249" s="80">
        <v>0.853570159857904</v>
      </c>
      <c r="E249" s="80">
        <v>0.312142095914743</v>
      </c>
      <c r="F249" s="81">
        <v>0.325889875666075</v>
      </c>
      <c r="G249" s="81">
        <v>0.272113676731794</v>
      </c>
    </row>
    <row r="250" spans="1:7">
      <c r="A250" s="78" t="s">
        <v>218</v>
      </c>
      <c r="B250" s="93">
        <v>7.12</v>
      </c>
      <c r="C250" s="79">
        <f t="shared" si="3"/>
        <v>5.63</v>
      </c>
      <c r="D250" s="80">
        <v>0.884213483146067</v>
      </c>
      <c r="E250" s="80">
        <v>0.33052808988764</v>
      </c>
      <c r="F250" s="81">
        <v>0.341398876404494</v>
      </c>
      <c r="G250" s="81">
        <v>0.298876404494382</v>
      </c>
    </row>
    <row r="251" spans="1:7">
      <c r="A251" s="78" t="s">
        <v>219</v>
      </c>
      <c r="B251" s="93">
        <v>10</v>
      </c>
      <c r="C251" s="79">
        <f t="shared" si="3"/>
        <v>7.12</v>
      </c>
      <c r="D251" s="80">
        <v>0.91756</v>
      </c>
      <c r="E251" s="80">
        <v>0.350536</v>
      </c>
      <c r="F251" s="81">
        <v>0.358276</v>
      </c>
      <c r="G251" s="81">
        <v>0.328</v>
      </c>
    </row>
    <row r="252" spans="1:7">
      <c r="A252" s="78" t="s">
        <v>220</v>
      </c>
      <c r="B252" s="93">
        <v>16.55</v>
      </c>
      <c r="C252" s="79">
        <f t="shared" si="3"/>
        <v>10</v>
      </c>
      <c r="D252" s="80">
        <v>0.950187311178248</v>
      </c>
      <c r="E252" s="80">
        <v>0.370112386706949</v>
      </c>
      <c r="F252" s="81">
        <v>0.37478912386707</v>
      </c>
      <c r="G252" s="81">
        <v>0.356495468277946</v>
      </c>
    </row>
    <row r="253" spans="1:7">
      <c r="A253" s="78" t="s">
        <v>221</v>
      </c>
      <c r="B253" s="78">
        <v>44.69</v>
      </c>
      <c r="C253" s="79">
        <f t="shared" si="3"/>
        <v>16.55</v>
      </c>
      <c r="D253" s="80">
        <v>0.981552920116357</v>
      </c>
      <c r="E253" s="80">
        <v>0.388931752069814</v>
      </c>
      <c r="F253" s="81">
        <v>0.390663683150593</v>
      </c>
      <c r="G253" s="81">
        <v>0.383889013202059</v>
      </c>
    </row>
    <row r="254" spans="1:7">
      <c r="A254" s="78" t="s">
        <v>221</v>
      </c>
      <c r="B254" s="78" t="s">
        <v>393</v>
      </c>
      <c r="C254" s="79">
        <f t="shared" si="3"/>
        <v>44.69</v>
      </c>
      <c r="D254" s="117"/>
      <c r="E254" s="83"/>
      <c r="F254" s="84"/>
      <c r="G254" s="84"/>
    </row>
    <row r="255" spans="1:7">
      <c r="A255" s="78"/>
      <c r="B255" s="78"/>
      <c r="C255" s="78"/>
      <c r="D255" s="117"/>
      <c r="E255" s="85">
        <v>0.0921907228185123</v>
      </c>
      <c r="F255" s="86">
        <v>0.106511310756945</v>
      </c>
      <c r="G255" s="86">
        <v>0.0642010077919714</v>
      </c>
    </row>
    <row r="256" ht="48" spans="1:7">
      <c r="A256" s="87" t="s">
        <v>233</v>
      </c>
      <c r="B256" s="78">
        <v>2</v>
      </c>
      <c r="C256" s="78"/>
      <c r="D256" s="117"/>
      <c r="E256" s="127">
        <v>1.374</v>
      </c>
      <c r="F256" s="128">
        <v>1.159</v>
      </c>
      <c r="G256" s="129">
        <v>2</v>
      </c>
    </row>
    <row r="257" ht="48" spans="1:7">
      <c r="A257" s="87" t="s">
        <v>224</v>
      </c>
      <c r="B257" s="78">
        <v>2.6</v>
      </c>
      <c r="C257" s="78"/>
      <c r="D257" s="83"/>
      <c r="E257" s="83"/>
      <c r="F257" s="84"/>
      <c r="G257" s="84"/>
    </row>
    <row r="258" ht="84" spans="1:7">
      <c r="A258" s="106" t="s">
        <v>225</v>
      </c>
      <c r="B258" s="78">
        <v>1.2</v>
      </c>
      <c r="C258" s="78"/>
      <c r="D258" s="83"/>
      <c r="E258" s="83">
        <v>0.8244</v>
      </c>
      <c r="F258" s="84">
        <v>0.6954</v>
      </c>
      <c r="G258" s="84">
        <v>1.2</v>
      </c>
    </row>
    <row r="261" spans="1:3">
      <c r="A261" s="531" t="s">
        <v>226</v>
      </c>
      <c r="B261" s="95">
        <f>AVERAGE(B209:B248)</f>
        <v>1.374</v>
      </c>
      <c r="C261" s="95"/>
    </row>
    <row r="262" spans="1:3">
      <c r="A262" s="531" t="s">
        <v>227</v>
      </c>
      <c r="B262" s="96">
        <f>AVERAGE(B214:B243)</f>
        <v>1.159</v>
      </c>
      <c r="C262" s="96"/>
    </row>
    <row r="263" spans="1:3">
      <c r="A263" s="531" t="s">
        <v>228</v>
      </c>
      <c r="B263" s="96">
        <f>AVERAGE(B220:B238)</f>
        <v>1.08210526315789</v>
      </c>
      <c r="C263" s="96"/>
    </row>
    <row r="265" ht="15.75"/>
    <row r="266" customHeight="1" spans="1:7">
      <c r="A266" s="252" t="s">
        <v>165</v>
      </c>
      <c r="B266" s="268" t="s">
        <v>363</v>
      </c>
      <c r="C266" s="269"/>
      <c r="D266" s="270"/>
      <c r="E266" s="70">
        <f>(1-E321)^(1/3)-1</f>
        <v>-0.0259159216836471</v>
      </c>
      <c r="F266" s="70">
        <f>(1-F321)^(1/3)-1</f>
        <v>-0.026985274786274</v>
      </c>
      <c r="G266" s="70"/>
    </row>
    <row r="267" ht="72.75" spans="1:7">
      <c r="A267" s="253"/>
      <c r="B267" s="83" t="s">
        <v>167</v>
      </c>
      <c r="C267" s="130"/>
      <c r="D267" s="83" t="s">
        <v>168</v>
      </c>
      <c r="E267" s="83" t="s">
        <v>169</v>
      </c>
      <c r="F267" s="84" t="s">
        <v>169</v>
      </c>
      <c r="G267" s="84"/>
    </row>
    <row r="268" ht="24.75" spans="1:7">
      <c r="A268" s="254"/>
      <c r="B268" s="257" t="s">
        <v>364</v>
      </c>
      <c r="D268" s="271" t="s">
        <v>171</v>
      </c>
      <c r="E268" s="271" t="s">
        <v>171</v>
      </c>
      <c r="F268" s="271" t="s">
        <v>171</v>
      </c>
      <c r="G268" s="271"/>
    </row>
    <row r="269" spans="1:7">
      <c r="A269" s="75">
        <v>1</v>
      </c>
      <c r="B269" s="143">
        <v>2</v>
      </c>
      <c r="D269" s="76">
        <v>3</v>
      </c>
      <c r="E269" s="76">
        <v>4</v>
      </c>
      <c r="F269" s="77">
        <v>5</v>
      </c>
      <c r="G269" s="77"/>
    </row>
    <row r="270" ht="15.75" spans="1:7">
      <c r="A270" s="537" t="s">
        <v>172</v>
      </c>
      <c r="B270" s="93">
        <v>3.2</v>
      </c>
      <c r="C270">
        <v>0</v>
      </c>
      <c r="D270" s="113">
        <v>0</v>
      </c>
      <c r="E270" s="80">
        <v>0</v>
      </c>
      <c r="F270" s="81">
        <v>0</v>
      </c>
      <c r="G270" s="81">
        <v>0</v>
      </c>
    </row>
    <row r="271" ht="15.75" spans="1:7">
      <c r="A271" s="537" t="s">
        <v>173</v>
      </c>
      <c r="B271" s="93">
        <v>8.2</v>
      </c>
      <c r="C271" s="79">
        <f>B270</f>
        <v>3.2</v>
      </c>
      <c r="D271" s="113">
        <v>0</v>
      </c>
      <c r="E271" s="80">
        <v>0</v>
      </c>
      <c r="F271" s="81">
        <v>0</v>
      </c>
      <c r="G271" s="81">
        <v>0</v>
      </c>
    </row>
    <row r="272" ht="15.75" spans="1:7">
      <c r="A272" s="537" t="s">
        <v>174</v>
      </c>
      <c r="B272" s="93">
        <v>11.1</v>
      </c>
      <c r="C272" s="79">
        <f t="shared" ref="C272:C320" si="4">B271</f>
        <v>8.2</v>
      </c>
      <c r="D272" s="113">
        <v>0</v>
      </c>
      <c r="E272" s="80">
        <v>0</v>
      </c>
      <c r="F272" s="81">
        <v>0</v>
      </c>
      <c r="G272" s="81">
        <v>0</v>
      </c>
    </row>
    <row r="273" ht="15.75" spans="1:7">
      <c r="A273" s="537" t="s">
        <v>175</v>
      </c>
      <c r="B273" s="93">
        <v>12.8</v>
      </c>
      <c r="C273" s="79">
        <f t="shared" si="4"/>
        <v>11.1</v>
      </c>
      <c r="D273" s="113">
        <v>0</v>
      </c>
      <c r="E273" s="80">
        <v>0</v>
      </c>
      <c r="F273" s="81">
        <v>0</v>
      </c>
      <c r="G273" s="81">
        <v>0</v>
      </c>
    </row>
    <row r="274" ht="15.75" spans="1:7">
      <c r="A274" s="537" t="s">
        <v>176</v>
      </c>
      <c r="B274" s="93">
        <v>14.5</v>
      </c>
      <c r="C274" s="79">
        <f t="shared" si="4"/>
        <v>12.8</v>
      </c>
      <c r="D274" s="113">
        <v>0</v>
      </c>
      <c r="E274" s="80">
        <v>0</v>
      </c>
      <c r="F274" s="81">
        <v>0</v>
      </c>
      <c r="G274" s="81">
        <v>0</v>
      </c>
    </row>
    <row r="275" ht="15.75" spans="1:7">
      <c r="A275" s="537" t="s">
        <v>177</v>
      </c>
      <c r="B275" s="93">
        <v>15.9</v>
      </c>
      <c r="C275" s="79">
        <f t="shared" si="4"/>
        <v>14.5</v>
      </c>
      <c r="D275" s="113">
        <v>0</v>
      </c>
      <c r="E275" s="80">
        <v>0</v>
      </c>
      <c r="F275" s="81">
        <v>0</v>
      </c>
      <c r="G275" s="81">
        <v>0</v>
      </c>
    </row>
    <row r="276" ht="15.75" spans="1:7">
      <c r="A276" s="537" t="s">
        <v>178</v>
      </c>
      <c r="B276" s="93">
        <v>16.9</v>
      </c>
      <c r="C276" s="79">
        <f t="shared" si="4"/>
        <v>15.9</v>
      </c>
      <c r="D276" s="113">
        <v>0</v>
      </c>
      <c r="E276" s="80">
        <v>0</v>
      </c>
      <c r="F276" s="81">
        <v>0</v>
      </c>
      <c r="G276" s="81">
        <v>0</v>
      </c>
    </row>
    <row r="277" ht="15.75" spans="1:7">
      <c r="A277" s="283" t="s">
        <v>179</v>
      </c>
      <c r="B277" s="93">
        <v>17.9</v>
      </c>
      <c r="C277" s="79">
        <f t="shared" si="4"/>
        <v>16.9</v>
      </c>
      <c r="D277" s="113">
        <v>0</v>
      </c>
      <c r="E277" s="80">
        <v>0</v>
      </c>
      <c r="F277" s="81">
        <v>0</v>
      </c>
      <c r="G277" s="81">
        <v>0</v>
      </c>
    </row>
    <row r="278" ht="15.75" spans="1:7">
      <c r="A278" s="283" t="s">
        <v>180</v>
      </c>
      <c r="B278" s="93">
        <v>18.6</v>
      </c>
      <c r="C278" s="79">
        <f t="shared" si="4"/>
        <v>17.9</v>
      </c>
      <c r="D278" s="113">
        <v>0</v>
      </c>
      <c r="E278" s="80">
        <v>0</v>
      </c>
      <c r="F278" s="81">
        <v>0.000978494623655926</v>
      </c>
      <c r="G278" s="81">
        <v>0</v>
      </c>
    </row>
    <row r="279" ht="15.75" spans="1:7">
      <c r="A279" s="283" t="s">
        <v>181</v>
      </c>
      <c r="B279" s="93">
        <v>19.6</v>
      </c>
      <c r="C279" s="79">
        <f t="shared" si="4"/>
        <v>18.6</v>
      </c>
      <c r="D279" s="113">
        <v>0.0409948979591837</v>
      </c>
      <c r="E279" s="80"/>
      <c r="F279" s="81">
        <v>0.00603061224489797</v>
      </c>
      <c r="G279" s="81">
        <v>0</v>
      </c>
    </row>
    <row r="280" ht="15.75" spans="1:7">
      <c r="A280" s="283" t="s">
        <v>182</v>
      </c>
      <c r="B280" s="93">
        <v>20.3</v>
      </c>
      <c r="C280" s="79">
        <f t="shared" si="4"/>
        <v>19.6</v>
      </c>
      <c r="D280" s="113">
        <v>0.0740640394088669</v>
      </c>
      <c r="E280" s="80"/>
      <c r="F280" s="81">
        <v>0.00927093596059114</v>
      </c>
      <c r="G280" s="81">
        <v>0</v>
      </c>
    </row>
    <row r="281" ht="15.75" spans="1:7">
      <c r="A281" s="283" t="s">
        <v>183</v>
      </c>
      <c r="B281" s="93">
        <v>21</v>
      </c>
      <c r="C281" s="79">
        <f t="shared" si="4"/>
        <v>20.3</v>
      </c>
      <c r="D281" s="113">
        <v>0.104928571428571</v>
      </c>
      <c r="E281" s="80">
        <v>0.0104928571428571</v>
      </c>
      <c r="F281" s="81">
        <v>0.0122952380952381</v>
      </c>
      <c r="G281" s="81">
        <v>0.00257142857142857</v>
      </c>
    </row>
    <row r="282" ht="15.75" spans="1:7">
      <c r="A282" s="283" t="s">
        <v>184</v>
      </c>
      <c r="B282" s="93">
        <v>21.6</v>
      </c>
      <c r="C282" s="79">
        <f t="shared" si="4"/>
        <v>21</v>
      </c>
      <c r="D282" s="113">
        <v>0.129791666666667</v>
      </c>
      <c r="E282" s="80">
        <v>0.0129791666666667</v>
      </c>
      <c r="F282" s="81">
        <v>0.0147314814814815</v>
      </c>
      <c r="G282" s="81">
        <v>0.00527777777777778</v>
      </c>
    </row>
    <row r="283" ht="15.75" spans="1:7">
      <c r="A283" s="283" t="s">
        <v>185</v>
      </c>
      <c r="B283" s="93">
        <v>22.3</v>
      </c>
      <c r="C283" s="79">
        <f t="shared" si="4"/>
        <v>21.6</v>
      </c>
      <c r="D283" s="113">
        <v>0.157107623318386</v>
      </c>
      <c r="E283" s="80">
        <v>0.0157107623318386</v>
      </c>
      <c r="F283" s="81">
        <v>0.0174080717488789</v>
      </c>
      <c r="G283" s="81">
        <v>0.00825112107623318</v>
      </c>
    </row>
    <row r="284" ht="15.75" spans="1:7">
      <c r="A284" s="283" t="s">
        <v>186</v>
      </c>
      <c r="B284" s="93">
        <v>23</v>
      </c>
      <c r="C284" s="79">
        <f t="shared" si="4"/>
        <v>22.3</v>
      </c>
      <c r="D284" s="113">
        <v>0.182760869565217</v>
      </c>
      <c r="E284" s="80">
        <v>0.0182760869565217</v>
      </c>
      <c r="F284" s="81">
        <v>0.0199217391304348</v>
      </c>
      <c r="G284" s="81">
        <v>0.0110434782608696</v>
      </c>
    </row>
    <row r="285" ht="15.75" spans="1:7">
      <c r="A285" s="283" t="s">
        <v>187</v>
      </c>
      <c r="B285" s="93">
        <v>23.5</v>
      </c>
      <c r="C285" s="79">
        <f t="shared" si="4"/>
        <v>23</v>
      </c>
      <c r="D285" s="113">
        <v>0.200148936170213</v>
      </c>
      <c r="E285" s="80">
        <v>0.0200148936170213</v>
      </c>
      <c r="F285" s="81">
        <v>0.0216255319148936</v>
      </c>
      <c r="G285" s="81">
        <v>0.012936170212766</v>
      </c>
    </row>
    <row r="286" ht="15.75" spans="1:7">
      <c r="A286" s="283" t="s">
        <v>188</v>
      </c>
      <c r="B286" s="93">
        <v>24.2</v>
      </c>
      <c r="C286" s="79">
        <f t="shared" si="4"/>
        <v>23.5</v>
      </c>
      <c r="D286" s="113">
        <v>0.223285123966942</v>
      </c>
      <c r="E286" s="80">
        <v>0.0223285123966942</v>
      </c>
      <c r="F286" s="81">
        <v>0.0238925619834711</v>
      </c>
      <c r="G286" s="81">
        <v>0.0154545454545454</v>
      </c>
    </row>
    <row r="287" ht="15.75" spans="1:7">
      <c r="A287" s="283" t="s">
        <v>189</v>
      </c>
      <c r="B287" s="93">
        <v>24.8</v>
      </c>
      <c r="C287" s="79">
        <f t="shared" si="4"/>
        <v>24.2</v>
      </c>
      <c r="D287" s="113">
        <v>0.242076612903226</v>
      </c>
      <c r="E287" s="80">
        <v>0.0242076612903226</v>
      </c>
      <c r="F287" s="81">
        <v>0.0257338709677419</v>
      </c>
      <c r="G287" s="81">
        <v>0.0175</v>
      </c>
    </row>
    <row r="288" ht="15.75" spans="1:7">
      <c r="A288" s="283" t="s">
        <v>190</v>
      </c>
      <c r="B288" s="93">
        <v>25.5</v>
      </c>
      <c r="C288" s="79">
        <f t="shared" si="4"/>
        <v>24.8</v>
      </c>
      <c r="D288" s="113">
        <v>0.262882352941176</v>
      </c>
      <c r="E288" s="80">
        <v>0.0262882352941176</v>
      </c>
      <c r="F288" s="81">
        <v>0.0277725490196079</v>
      </c>
      <c r="G288" s="81">
        <v>0.0197647058823529</v>
      </c>
    </row>
    <row r="289" ht="15.75" spans="1:7">
      <c r="A289" s="283" t="s">
        <v>191</v>
      </c>
      <c r="B289" s="93">
        <v>26.4</v>
      </c>
      <c r="C289" s="79">
        <f t="shared" si="4"/>
        <v>25.5</v>
      </c>
      <c r="D289" s="113">
        <v>0.288011363636364</v>
      </c>
      <c r="E289" s="80">
        <v>0.0288011363636364</v>
      </c>
      <c r="F289" s="81">
        <v>0.0302348484848485</v>
      </c>
      <c r="G289" s="81">
        <v>0.0225</v>
      </c>
    </row>
    <row r="290" ht="15.75" spans="1:7">
      <c r="A290" s="283" t="s">
        <v>192</v>
      </c>
      <c r="B290" s="93">
        <v>27.1</v>
      </c>
      <c r="C290" s="79">
        <f t="shared" si="4"/>
        <v>26.4</v>
      </c>
      <c r="D290" s="113">
        <v>0.30640221402214</v>
      </c>
      <c r="E290" s="80">
        <v>0.030640221402214</v>
      </c>
      <c r="F290" s="81">
        <v>0.0320369003690037</v>
      </c>
      <c r="G290" s="81">
        <v>0.0245018450184502</v>
      </c>
    </row>
    <row r="291" ht="15.75" spans="1:7">
      <c r="A291" s="283" t="s">
        <v>193</v>
      </c>
      <c r="B291" s="93">
        <v>27.9</v>
      </c>
      <c r="C291" s="79">
        <f t="shared" si="4"/>
        <v>27.1</v>
      </c>
      <c r="D291" s="113">
        <v>0.326290322580645</v>
      </c>
      <c r="E291" s="80">
        <v>0.0326290322580645</v>
      </c>
      <c r="F291" s="81">
        <v>0.0339856630824373</v>
      </c>
      <c r="G291" s="81">
        <v>0.0266666666666667</v>
      </c>
    </row>
    <row r="292" ht="15.75" spans="1:7">
      <c r="A292" s="283" t="s">
        <v>194</v>
      </c>
      <c r="B292" s="93">
        <v>28.5</v>
      </c>
      <c r="C292" s="79">
        <f t="shared" si="4"/>
        <v>27.9</v>
      </c>
      <c r="D292" s="113">
        <v>0.340473684210526</v>
      </c>
      <c r="E292" s="80">
        <v>0.0340473684210526</v>
      </c>
      <c r="F292" s="81">
        <v>0.0353754385964912</v>
      </c>
      <c r="G292" s="81">
        <v>0.0282105263157895</v>
      </c>
    </row>
    <row r="293" ht="15.75" spans="1:7">
      <c r="A293" s="283" t="s">
        <v>195</v>
      </c>
      <c r="B293" s="93">
        <v>29.1</v>
      </c>
      <c r="C293" s="79">
        <f t="shared" si="4"/>
        <v>28.5</v>
      </c>
      <c r="D293" s="113">
        <v>0.354072164948454</v>
      </c>
      <c r="E293" s="80">
        <v>0.0354072164948454</v>
      </c>
      <c r="F293" s="81">
        <v>0.0367079037800687</v>
      </c>
      <c r="G293" s="81">
        <v>0.0296907216494845</v>
      </c>
    </row>
    <row r="294" ht="15.75" spans="1:7">
      <c r="A294" s="283" t="s">
        <v>196</v>
      </c>
      <c r="B294" s="93">
        <v>29.9</v>
      </c>
      <c r="C294" s="79">
        <f t="shared" si="4"/>
        <v>29.1</v>
      </c>
      <c r="D294" s="113">
        <v>0.371354515050167</v>
      </c>
      <c r="E294" s="80">
        <v>0.0371354515050167</v>
      </c>
      <c r="F294" s="81">
        <v>0.0384013377926421</v>
      </c>
      <c r="G294" s="81">
        <v>0.031571906354515</v>
      </c>
    </row>
    <row r="295" ht="15.75" spans="1:7">
      <c r="A295" s="283" t="s">
        <v>197</v>
      </c>
      <c r="B295" s="93">
        <v>30.7</v>
      </c>
      <c r="C295" s="79">
        <f t="shared" si="4"/>
        <v>29.9</v>
      </c>
      <c r="D295" s="113">
        <v>0.387736156351791</v>
      </c>
      <c r="E295" s="80">
        <v>0.0387736156351791</v>
      </c>
      <c r="F295" s="81">
        <v>0.0400390879478827</v>
      </c>
      <c r="G295" s="81">
        <v>0.0333550488599349</v>
      </c>
    </row>
    <row r="296" ht="15.75" spans="1:7">
      <c r="A296" s="283" t="s">
        <v>198</v>
      </c>
      <c r="B296" s="93">
        <v>31.3</v>
      </c>
      <c r="C296" s="79">
        <f t="shared" si="4"/>
        <v>30.7</v>
      </c>
      <c r="D296" s="113">
        <v>0.399472843450479</v>
      </c>
      <c r="E296" s="80">
        <v>0.0399472843450479</v>
      </c>
      <c r="F296" s="81">
        <v>0.0469392971246006</v>
      </c>
      <c r="G296" s="81">
        <v>0.0346325878594249</v>
      </c>
    </row>
    <row r="297" ht="15.75" spans="1:7">
      <c r="A297" s="283" t="s">
        <v>199</v>
      </c>
      <c r="B297" s="93">
        <v>32.1</v>
      </c>
      <c r="C297" s="79">
        <f t="shared" si="4"/>
        <v>31.3</v>
      </c>
      <c r="D297" s="113">
        <v>0.414439252336449</v>
      </c>
      <c r="E297" s="80">
        <v>0.0486635514018691</v>
      </c>
      <c r="F297" s="81">
        <v>0.0557383177570093</v>
      </c>
      <c r="G297" s="81">
        <v>0.0362616822429907</v>
      </c>
    </row>
    <row r="298" ht="15.75" spans="1:7">
      <c r="A298" s="283" t="s">
        <v>200</v>
      </c>
      <c r="B298" s="93">
        <v>32.9</v>
      </c>
      <c r="C298" s="79">
        <f t="shared" si="4"/>
        <v>32.1</v>
      </c>
      <c r="D298" s="113">
        <v>0.428677811550152</v>
      </c>
      <c r="E298" s="80">
        <v>0.0572066869300911</v>
      </c>
      <c r="F298" s="81">
        <v>0.0641094224924012</v>
      </c>
      <c r="G298" s="81">
        <v>0.0378115501519757</v>
      </c>
    </row>
    <row r="299" ht="15.75" spans="1:7">
      <c r="A299" s="283" t="s">
        <v>201</v>
      </c>
      <c r="B299" s="93">
        <v>33.7</v>
      </c>
      <c r="C299" s="79">
        <f t="shared" si="4"/>
        <v>32.9</v>
      </c>
      <c r="D299" s="113">
        <v>0.442240356083086</v>
      </c>
      <c r="E299" s="80">
        <v>0.0653442136498516</v>
      </c>
      <c r="F299" s="81">
        <v>0.0720830860534125</v>
      </c>
      <c r="G299" s="81">
        <v>0.0392878338278932</v>
      </c>
    </row>
    <row r="300" ht="15.75" spans="1:7">
      <c r="A300" s="283" t="s">
        <v>202</v>
      </c>
      <c r="B300" s="93">
        <v>34.4</v>
      </c>
      <c r="C300" s="79">
        <f t="shared" si="4"/>
        <v>33.7</v>
      </c>
      <c r="D300" s="113">
        <v>0.45359011627907</v>
      </c>
      <c r="E300" s="80">
        <v>0.0721540697674418</v>
      </c>
      <c r="F300" s="81">
        <v>0.0787558139534884</v>
      </c>
      <c r="G300" s="81">
        <v>0.0431395348837209</v>
      </c>
    </row>
    <row r="301" ht="15.75" spans="1:7">
      <c r="A301" s="283" t="s">
        <v>203</v>
      </c>
      <c r="B301" s="93">
        <v>35.2</v>
      </c>
      <c r="C301" s="79">
        <f t="shared" si="4"/>
        <v>34.4</v>
      </c>
      <c r="D301" s="113">
        <v>0.466008522727273</v>
      </c>
      <c r="E301" s="80">
        <v>0.0796051136363636</v>
      </c>
      <c r="F301" s="81">
        <v>0.0860568181818182</v>
      </c>
      <c r="G301" s="81">
        <v>0.05125</v>
      </c>
    </row>
    <row r="302" ht="15.75" spans="1:7">
      <c r="A302" s="283" t="s">
        <v>204</v>
      </c>
      <c r="B302" s="93">
        <v>35.9</v>
      </c>
      <c r="C302" s="79">
        <f t="shared" si="4"/>
        <v>35.2</v>
      </c>
      <c r="D302" s="113">
        <v>0.47642061281337</v>
      </c>
      <c r="E302" s="80">
        <v>0.0858523676880222</v>
      </c>
      <c r="F302" s="81">
        <v>0.0921782729805014</v>
      </c>
      <c r="G302" s="81">
        <v>0.058050139275766</v>
      </c>
    </row>
    <row r="303" ht="15.75" spans="1:7">
      <c r="A303" s="283" t="s">
        <v>205</v>
      </c>
      <c r="B303" s="93">
        <v>36.6</v>
      </c>
      <c r="C303" s="79">
        <f t="shared" si="4"/>
        <v>35.9</v>
      </c>
      <c r="D303" s="113">
        <v>0.486434426229508</v>
      </c>
      <c r="E303" s="80">
        <v>0.0918606557377049</v>
      </c>
      <c r="F303" s="81">
        <v>0.0980655737704918</v>
      </c>
      <c r="G303" s="81">
        <v>0.0645901639344262</v>
      </c>
    </row>
    <row r="304" ht="15.75" spans="1:7">
      <c r="A304" s="283" t="s">
        <v>206</v>
      </c>
      <c r="B304" s="93">
        <v>37.7</v>
      </c>
      <c r="C304" s="79">
        <f t="shared" si="4"/>
        <v>36.6</v>
      </c>
      <c r="D304" s="113">
        <v>0.501419098143236</v>
      </c>
      <c r="E304" s="80">
        <v>0.100851458885942</v>
      </c>
      <c r="F304" s="81">
        <v>0.106875331564987</v>
      </c>
      <c r="G304" s="81">
        <v>0.0743766578249337</v>
      </c>
    </row>
    <row r="305" ht="15.75" spans="1:7">
      <c r="A305" s="283" t="s">
        <v>207</v>
      </c>
      <c r="B305" s="93">
        <v>38.7</v>
      </c>
      <c r="C305" s="79">
        <f t="shared" si="4"/>
        <v>37.7</v>
      </c>
      <c r="D305" s="113">
        <v>0.514302325581395</v>
      </c>
      <c r="E305" s="80">
        <v>0.108581395348837</v>
      </c>
      <c r="F305" s="81">
        <v>0.114449612403101</v>
      </c>
      <c r="G305" s="81">
        <v>0.0827906976744186</v>
      </c>
    </row>
    <row r="306" ht="15.75" spans="1:7">
      <c r="A306" s="283" t="s">
        <v>208</v>
      </c>
      <c r="B306" s="93">
        <v>39.9</v>
      </c>
      <c r="C306" s="79">
        <f t="shared" si="4"/>
        <v>38.7</v>
      </c>
      <c r="D306" s="113">
        <v>0.52890977443609</v>
      </c>
      <c r="E306" s="80">
        <v>0.117345864661654</v>
      </c>
      <c r="F306" s="81">
        <v>0.123037593984962</v>
      </c>
      <c r="G306" s="81">
        <v>0.0923308270676692</v>
      </c>
    </row>
    <row r="307" ht="15.75" spans="1:7">
      <c r="A307" s="283" t="s">
        <v>209</v>
      </c>
      <c r="B307" s="93">
        <v>41</v>
      </c>
      <c r="C307" s="79">
        <f t="shared" si="4"/>
        <v>39.9</v>
      </c>
      <c r="D307" s="113">
        <v>0.541548780487805</v>
      </c>
      <c r="E307" s="80">
        <v>0.124929268292683</v>
      </c>
      <c r="F307" s="81">
        <v>0.130468292682927</v>
      </c>
      <c r="G307" s="81">
        <v>0.100585365853659</v>
      </c>
    </row>
    <row r="308" ht="15.75" spans="1:7">
      <c r="A308" s="283" t="s">
        <v>210</v>
      </c>
      <c r="B308" s="93">
        <v>42.2</v>
      </c>
      <c r="C308" s="79">
        <f t="shared" si="4"/>
        <v>41</v>
      </c>
      <c r="D308" s="113">
        <v>0.554585308056872</v>
      </c>
      <c r="E308" s="80">
        <v>0.132751184834123</v>
      </c>
      <c r="F308" s="81">
        <v>0.138132701421801</v>
      </c>
      <c r="G308" s="81">
        <v>0.109099526066351</v>
      </c>
    </row>
    <row r="309" ht="15.75" spans="1:7">
      <c r="A309" s="283" t="s">
        <v>211</v>
      </c>
      <c r="B309" s="93">
        <v>43.5</v>
      </c>
      <c r="C309" s="79">
        <f t="shared" si="4"/>
        <v>42.2</v>
      </c>
      <c r="D309" s="113">
        <v>0.567896551724138</v>
      </c>
      <c r="E309" s="80">
        <v>0.140737931034483</v>
      </c>
      <c r="F309" s="81">
        <v>0.145958620689655</v>
      </c>
      <c r="G309" s="81">
        <v>0.117793103448276</v>
      </c>
    </row>
    <row r="310" ht="15.75" spans="1:7">
      <c r="A310" s="283" t="s">
        <v>212</v>
      </c>
      <c r="B310" s="93">
        <v>44.5</v>
      </c>
      <c r="C310" s="79">
        <f t="shared" si="4"/>
        <v>43.5</v>
      </c>
      <c r="D310" s="113">
        <v>0.577606741573034</v>
      </c>
      <c r="E310" s="80">
        <v>0.14656404494382</v>
      </c>
      <c r="F310" s="81">
        <v>0.151667415730337</v>
      </c>
      <c r="G310" s="81">
        <v>0.124134831460674</v>
      </c>
    </row>
    <row r="311" ht="15.75" spans="1:7">
      <c r="A311" s="283" t="s">
        <v>213</v>
      </c>
      <c r="B311" s="93">
        <v>46</v>
      </c>
      <c r="C311" s="79">
        <f t="shared" si="4"/>
        <v>44.5</v>
      </c>
      <c r="D311" s="113">
        <v>0.591380434782609</v>
      </c>
      <c r="E311" s="80">
        <v>0.154828260869565</v>
      </c>
      <c r="F311" s="81">
        <v>0.159765217391304</v>
      </c>
      <c r="G311" s="81">
        <v>0.133130434782609</v>
      </c>
    </row>
    <row r="312" ht="15.75" spans="1:7">
      <c r="A312" s="283" t="s">
        <v>214</v>
      </c>
      <c r="B312" s="93">
        <v>48</v>
      </c>
      <c r="C312" s="79">
        <f t="shared" si="4"/>
        <v>46</v>
      </c>
      <c r="D312" s="113">
        <v>0.60840625</v>
      </c>
      <c r="E312" s="80">
        <v>0.16504375</v>
      </c>
      <c r="F312" s="81">
        <v>0.169775</v>
      </c>
      <c r="G312" s="81">
        <v>0.14425</v>
      </c>
    </row>
    <row r="313" ht="15.75" spans="1:7">
      <c r="A313" s="283" t="s">
        <v>215</v>
      </c>
      <c r="B313" s="93">
        <v>50.7</v>
      </c>
      <c r="C313" s="79">
        <f t="shared" si="4"/>
        <v>48</v>
      </c>
      <c r="D313" s="113">
        <v>0.629260355029586</v>
      </c>
      <c r="E313" s="80">
        <v>0.177556213017751</v>
      </c>
      <c r="F313" s="81">
        <v>0.18203550295858</v>
      </c>
      <c r="G313" s="81">
        <v>0.157869822485207</v>
      </c>
    </row>
    <row r="314" ht="15.75" spans="1:7">
      <c r="A314" s="283" t="s">
        <v>216</v>
      </c>
      <c r="B314" s="93">
        <v>54.1</v>
      </c>
      <c r="C314" s="79">
        <f t="shared" si="4"/>
        <v>50.7</v>
      </c>
      <c r="D314" s="113">
        <v>0.652560073937153</v>
      </c>
      <c r="E314" s="80">
        <v>0.191536044362292</v>
      </c>
      <c r="F314" s="81">
        <v>0.195733826247689</v>
      </c>
      <c r="G314" s="81">
        <v>0.173086876155268</v>
      </c>
    </row>
    <row r="315" ht="15.75" spans="1:7">
      <c r="A315" s="283" t="s">
        <v>217</v>
      </c>
      <c r="B315" s="93">
        <v>58.9</v>
      </c>
      <c r="C315" s="79">
        <f t="shared" si="4"/>
        <v>54.1</v>
      </c>
      <c r="D315" s="113">
        <v>0.680874363327674</v>
      </c>
      <c r="E315" s="80">
        <v>0.208524617996604</v>
      </c>
      <c r="F315" s="81">
        <v>0.212380305602716</v>
      </c>
      <c r="G315" s="81">
        <v>0.191578947368421</v>
      </c>
    </row>
    <row r="316" ht="15.75" spans="1:7">
      <c r="A316" s="283" t="s">
        <v>218</v>
      </c>
      <c r="B316" s="93">
        <v>65</v>
      </c>
      <c r="C316" s="79">
        <f t="shared" si="4"/>
        <v>58.9</v>
      </c>
      <c r="D316" s="113">
        <v>0.710823076923077</v>
      </c>
      <c r="E316" s="80">
        <v>0.226493846153846</v>
      </c>
      <c r="F316" s="81">
        <v>0.229987692307692</v>
      </c>
      <c r="G316" s="81">
        <v>0.211138461538462</v>
      </c>
    </row>
    <row r="317" ht="15.75" spans="1:7">
      <c r="A317" s="283" t="s">
        <v>219</v>
      </c>
      <c r="B317" s="93">
        <v>76.2</v>
      </c>
      <c r="C317" s="79">
        <f t="shared" si="4"/>
        <v>65</v>
      </c>
      <c r="D317" s="113">
        <v>0.753326771653543</v>
      </c>
      <c r="E317" s="80">
        <v>0.251996062992126</v>
      </c>
      <c r="F317" s="81">
        <v>0.254976377952756</v>
      </c>
      <c r="G317" s="81">
        <v>0.238897637795276</v>
      </c>
    </row>
    <row r="318" ht="15.75" spans="1:7">
      <c r="A318" s="283" t="s">
        <v>220</v>
      </c>
      <c r="B318" s="93">
        <v>96.2</v>
      </c>
      <c r="C318" s="79">
        <f t="shared" si="4"/>
        <v>76.2</v>
      </c>
      <c r="D318" s="113">
        <v>0.804610187110187</v>
      </c>
      <c r="E318" s="80">
        <v>0.282766112266112</v>
      </c>
      <c r="F318" s="81">
        <v>0.285126819126819</v>
      </c>
      <c r="G318" s="81">
        <v>0.272390852390852</v>
      </c>
    </row>
    <row r="319" ht="15.75" spans="1:7">
      <c r="A319" s="283" t="s">
        <v>221</v>
      </c>
      <c r="B319" s="93">
        <v>136.1</v>
      </c>
      <c r="C319" s="79">
        <f t="shared" si="4"/>
        <v>96.2</v>
      </c>
      <c r="D319" s="113">
        <v>0.861891991182954</v>
      </c>
      <c r="E319" s="80">
        <v>0.317135194709772</v>
      </c>
      <c r="F319" s="81">
        <v>0.318803820720059</v>
      </c>
      <c r="G319" s="81">
        <v>0.309801616458486</v>
      </c>
    </row>
    <row r="320" ht="15.75" spans="1:7">
      <c r="A320" s="257" t="s">
        <v>221</v>
      </c>
      <c r="B320" s="257" t="s">
        <v>394</v>
      </c>
      <c r="C320" s="79">
        <f t="shared" si="4"/>
        <v>136.1</v>
      </c>
      <c r="D320" s="260"/>
      <c r="E320" s="72"/>
      <c r="F320" s="73"/>
      <c r="G320" s="84"/>
    </row>
    <row r="321" ht="15.75" spans="1:7">
      <c r="A321" s="257"/>
      <c r="B321" s="257"/>
      <c r="D321" s="116"/>
      <c r="E321" s="261">
        <v>0.0757502661007772</v>
      </c>
      <c r="F321" s="262">
        <v>0.0787908600064676</v>
      </c>
      <c r="G321" s="262">
        <v>0.0637515018529515</v>
      </c>
    </row>
    <row r="322" ht="48.75" spans="1:7">
      <c r="A322" s="256" t="s">
        <v>233</v>
      </c>
      <c r="B322" s="257">
        <v>34.1</v>
      </c>
      <c r="D322" s="116"/>
      <c r="E322" s="263">
        <v>31.3275</v>
      </c>
      <c r="F322" s="264">
        <v>30.6966666666667</v>
      </c>
      <c r="G322" s="265">
        <v>34.1</v>
      </c>
    </row>
    <row r="323" ht="48.75" spans="1:7">
      <c r="A323" s="256" t="s">
        <v>224</v>
      </c>
      <c r="B323" s="116">
        <v>34.1</v>
      </c>
      <c r="D323" s="72"/>
      <c r="E323" s="72"/>
      <c r="F323" s="73"/>
      <c r="G323" s="73"/>
    </row>
    <row r="324" ht="84.75" spans="1:7">
      <c r="A324" s="266" t="s">
        <v>225</v>
      </c>
      <c r="B324" s="116">
        <v>20.5</v>
      </c>
      <c r="D324" s="72"/>
      <c r="E324" s="72">
        <v>18.7965</v>
      </c>
      <c r="F324" s="73">
        <v>18.418</v>
      </c>
      <c r="G324" s="73">
        <v>20.46</v>
      </c>
    </row>
    <row r="327" spans="1:2">
      <c r="A327" s="531" t="s">
        <v>226</v>
      </c>
      <c r="B327" s="95">
        <f>AVERAGE(B275:B314)</f>
        <v>31.3275</v>
      </c>
    </row>
    <row r="328" spans="1:2">
      <c r="A328" s="531" t="s">
        <v>227</v>
      </c>
      <c r="B328" s="96">
        <f>AVERAGE(B280:B309)</f>
        <v>30.6966666666667</v>
      </c>
    </row>
    <row r="329" spans="1:2">
      <c r="A329" s="531" t="s">
        <v>228</v>
      </c>
      <c r="B329" s="96">
        <f>AVERAGE(B286:B304)</f>
        <v>30.7315789473684</v>
      </c>
    </row>
    <row r="332" ht="15.75"/>
    <row r="333" customHeight="1" spans="1:7">
      <c r="A333" s="252" t="s">
        <v>165</v>
      </c>
      <c r="B333" s="268" t="s">
        <v>37</v>
      </c>
      <c r="C333" s="269"/>
      <c r="D333" s="270"/>
      <c r="E333" s="70">
        <f>(1-E388)^(1/3)-1</f>
        <v>-0.029502749902827</v>
      </c>
      <c r="F333" s="70">
        <f>(1-F388)^(1/3)-1</f>
        <v>-0.0320304864704251</v>
      </c>
      <c r="G333" s="70"/>
    </row>
    <row r="334" ht="72.75" spans="1:7">
      <c r="A334" s="253"/>
      <c r="B334" s="254" t="s">
        <v>167</v>
      </c>
      <c r="D334" s="83" t="s">
        <v>168</v>
      </c>
      <c r="E334" s="83" t="s">
        <v>169</v>
      </c>
      <c r="F334" s="84" t="s">
        <v>169</v>
      </c>
      <c r="G334" s="84"/>
    </row>
    <row r="335" ht="24.75" spans="1:7">
      <c r="A335" s="254"/>
      <c r="B335" s="257" t="s">
        <v>365</v>
      </c>
      <c r="D335" s="271" t="s">
        <v>171</v>
      </c>
      <c r="E335" s="271" t="s">
        <v>171</v>
      </c>
      <c r="F335" s="271" t="s">
        <v>171</v>
      </c>
      <c r="G335" s="271"/>
    </row>
    <row r="336" ht="15.75" spans="1:7">
      <c r="A336" s="75">
        <v>1</v>
      </c>
      <c r="B336" s="143">
        <v>2</v>
      </c>
      <c r="C336" s="131"/>
      <c r="D336" s="76">
        <v>3</v>
      </c>
      <c r="E336" s="76">
        <v>4</v>
      </c>
      <c r="F336" s="77">
        <v>5</v>
      </c>
      <c r="G336" s="77"/>
    </row>
    <row r="337" ht="15.75" spans="1:7">
      <c r="A337" s="537" t="s">
        <v>172</v>
      </c>
      <c r="B337" s="93">
        <v>6.9</v>
      </c>
      <c r="C337">
        <v>0</v>
      </c>
      <c r="D337" s="113">
        <v>0</v>
      </c>
      <c r="E337" s="80">
        <v>0</v>
      </c>
      <c r="F337" s="81">
        <v>0</v>
      </c>
      <c r="G337" s="81">
        <v>0</v>
      </c>
    </row>
    <row r="338" ht="15.75" spans="1:7">
      <c r="A338" s="537" t="s">
        <v>173</v>
      </c>
      <c r="B338" s="93">
        <v>12.4</v>
      </c>
      <c r="C338" s="79">
        <f>B337</f>
        <v>6.9</v>
      </c>
      <c r="D338" s="113">
        <v>0</v>
      </c>
      <c r="E338" s="80">
        <v>0</v>
      </c>
      <c r="F338" s="81">
        <v>0</v>
      </c>
      <c r="G338" s="81">
        <v>0</v>
      </c>
    </row>
    <row r="339" ht="15.75" spans="1:7">
      <c r="A339" s="537" t="s">
        <v>174</v>
      </c>
      <c r="B339" s="93">
        <v>16</v>
      </c>
      <c r="C339" s="79">
        <f t="shared" ref="C339:C387" si="5">B338</f>
        <v>12.4</v>
      </c>
      <c r="D339" s="113">
        <v>0</v>
      </c>
      <c r="E339" s="80">
        <v>0</v>
      </c>
      <c r="F339" s="81">
        <v>0</v>
      </c>
      <c r="G339" s="81">
        <v>0</v>
      </c>
    </row>
    <row r="340" ht="15.75" spans="1:7">
      <c r="A340" s="537" t="s">
        <v>175</v>
      </c>
      <c r="B340" s="93">
        <v>19.1</v>
      </c>
      <c r="C340" s="79">
        <f t="shared" si="5"/>
        <v>16</v>
      </c>
      <c r="D340" s="113">
        <v>0</v>
      </c>
      <c r="E340" s="80">
        <v>0</v>
      </c>
      <c r="F340" s="81">
        <v>0</v>
      </c>
      <c r="G340" s="81">
        <v>0</v>
      </c>
    </row>
    <row r="341" ht="15.75" spans="1:7">
      <c r="A341" s="537" t="s">
        <v>176</v>
      </c>
      <c r="B341" s="93">
        <v>21.3</v>
      </c>
      <c r="C341" s="79">
        <f t="shared" si="5"/>
        <v>19.1</v>
      </c>
      <c r="D341" s="113">
        <v>0</v>
      </c>
      <c r="E341" s="80">
        <v>0</v>
      </c>
      <c r="F341" s="81">
        <v>0</v>
      </c>
      <c r="G341" s="81">
        <v>0</v>
      </c>
    </row>
    <row r="342" ht="15.75" spans="1:7">
      <c r="A342" s="537" t="s">
        <v>177</v>
      </c>
      <c r="B342" s="93">
        <v>24.2</v>
      </c>
      <c r="C342" s="79">
        <f t="shared" si="5"/>
        <v>21.3</v>
      </c>
      <c r="D342" s="113">
        <v>0</v>
      </c>
      <c r="E342" s="80">
        <v>0</v>
      </c>
      <c r="F342" s="81">
        <v>0</v>
      </c>
      <c r="G342" s="81">
        <v>0</v>
      </c>
    </row>
    <row r="343" ht="15.75" spans="1:7">
      <c r="A343" s="537" t="s">
        <v>178</v>
      </c>
      <c r="B343" s="93">
        <v>27.6</v>
      </c>
      <c r="C343" s="79">
        <f t="shared" si="5"/>
        <v>24.2</v>
      </c>
      <c r="D343" s="113">
        <v>0</v>
      </c>
      <c r="E343" s="80">
        <v>0</v>
      </c>
      <c r="F343" s="81">
        <v>0</v>
      </c>
      <c r="G343" s="81">
        <v>0</v>
      </c>
    </row>
    <row r="344" ht="15.75" spans="1:7">
      <c r="A344" s="283" t="s">
        <v>179</v>
      </c>
      <c r="B344" s="93">
        <v>30.1</v>
      </c>
      <c r="C344" s="79">
        <f t="shared" si="5"/>
        <v>27.6</v>
      </c>
      <c r="D344" s="113">
        <v>0</v>
      </c>
      <c r="E344" s="80">
        <v>0</v>
      </c>
      <c r="F344" s="81">
        <v>0</v>
      </c>
      <c r="G344" s="81">
        <v>0</v>
      </c>
    </row>
    <row r="345" ht="15.75" spans="1:7">
      <c r="A345" s="283" t="s">
        <v>180</v>
      </c>
      <c r="B345" s="93">
        <v>32.5</v>
      </c>
      <c r="C345" s="79">
        <f t="shared" si="5"/>
        <v>30.1</v>
      </c>
      <c r="D345" s="113">
        <v>0</v>
      </c>
      <c r="E345" s="80">
        <v>0</v>
      </c>
      <c r="F345" s="81">
        <v>0</v>
      </c>
      <c r="G345" s="81">
        <v>0</v>
      </c>
    </row>
    <row r="346" ht="15.75" spans="1:7">
      <c r="A346" s="283" t="s">
        <v>181</v>
      </c>
      <c r="B346" s="93">
        <v>34.9</v>
      </c>
      <c r="C346" s="79">
        <f t="shared" si="5"/>
        <v>32.5</v>
      </c>
      <c r="D346" s="113">
        <v>0</v>
      </c>
      <c r="E346" s="80">
        <v>0</v>
      </c>
      <c r="F346" s="81">
        <v>0</v>
      </c>
      <c r="G346" s="81">
        <v>0</v>
      </c>
    </row>
    <row r="347" ht="15.75" spans="1:7">
      <c r="A347" s="283" t="s">
        <v>182</v>
      </c>
      <c r="B347" s="93">
        <v>37.4</v>
      </c>
      <c r="C347" s="79">
        <f t="shared" si="5"/>
        <v>34.9</v>
      </c>
      <c r="D347" s="113">
        <v>0</v>
      </c>
      <c r="E347" s="80">
        <v>0</v>
      </c>
      <c r="F347" s="81">
        <v>0</v>
      </c>
      <c r="G347" s="81">
        <v>0</v>
      </c>
    </row>
    <row r="348" ht="15.75" spans="1:7">
      <c r="A348" s="283" t="s">
        <v>183</v>
      </c>
      <c r="B348" s="93">
        <v>40.5</v>
      </c>
      <c r="C348" s="79">
        <f t="shared" si="5"/>
        <v>37.4</v>
      </c>
      <c r="D348" s="113">
        <v>0</v>
      </c>
      <c r="E348" s="80">
        <v>0</v>
      </c>
      <c r="F348" s="81">
        <v>0</v>
      </c>
      <c r="G348" s="81">
        <v>0</v>
      </c>
    </row>
    <row r="349" ht="15.75" spans="1:7">
      <c r="A349" s="283" t="s">
        <v>184</v>
      </c>
      <c r="B349" s="93">
        <v>42.8</v>
      </c>
      <c r="C349" s="79">
        <f t="shared" si="5"/>
        <v>40.5</v>
      </c>
      <c r="D349" s="113">
        <v>0</v>
      </c>
      <c r="E349" s="80">
        <v>0</v>
      </c>
      <c r="F349" s="81">
        <v>0</v>
      </c>
      <c r="G349" s="81">
        <v>0</v>
      </c>
    </row>
    <row r="350" ht="15.75" spans="1:7">
      <c r="A350" s="283" t="s">
        <v>185</v>
      </c>
      <c r="B350" s="93">
        <v>45.5</v>
      </c>
      <c r="C350" s="79">
        <f t="shared" si="5"/>
        <v>42.8</v>
      </c>
      <c r="D350" s="113">
        <v>0</v>
      </c>
      <c r="E350" s="80">
        <v>0</v>
      </c>
      <c r="F350" s="81">
        <v>0</v>
      </c>
      <c r="G350" s="81">
        <v>0</v>
      </c>
    </row>
    <row r="351" ht="15.75" spans="1:7">
      <c r="A351" s="283" t="s">
        <v>186</v>
      </c>
      <c r="B351" s="93">
        <v>48</v>
      </c>
      <c r="C351" s="79">
        <f t="shared" si="5"/>
        <v>45.5</v>
      </c>
      <c r="D351" s="113">
        <v>0</v>
      </c>
      <c r="E351" s="80">
        <v>0</v>
      </c>
      <c r="F351" s="81">
        <v>0</v>
      </c>
      <c r="G351" s="81">
        <v>0</v>
      </c>
    </row>
    <row r="352" ht="15.75" spans="1:7">
      <c r="A352" s="283" t="s">
        <v>187</v>
      </c>
      <c r="B352" s="93">
        <v>51.7</v>
      </c>
      <c r="C352" s="79">
        <f t="shared" si="5"/>
        <v>48</v>
      </c>
      <c r="D352" s="113">
        <v>0</v>
      </c>
      <c r="E352" s="80">
        <v>0</v>
      </c>
      <c r="F352" s="81">
        <v>0.00306769825918762</v>
      </c>
      <c r="G352" s="81">
        <v>0</v>
      </c>
    </row>
    <row r="353" ht="15.75" spans="1:7">
      <c r="A353" s="283" t="s">
        <v>188</v>
      </c>
      <c r="B353" s="93">
        <v>54.7</v>
      </c>
      <c r="C353" s="79">
        <f t="shared" si="5"/>
        <v>51.7</v>
      </c>
      <c r="D353" s="113">
        <v>0.0257404021937844</v>
      </c>
      <c r="E353" s="80"/>
      <c r="F353" s="81">
        <v>0.00838391224862888</v>
      </c>
      <c r="G353" s="81">
        <v>0</v>
      </c>
    </row>
    <row r="354" ht="15.75" spans="1:7">
      <c r="A354" s="283" t="s">
        <v>189</v>
      </c>
      <c r="B354" s="93">
        <v>57.5</v>
      </c>
      <c r="C354" s="79">
        <f t="shared" si="5"/>
        <v>54.7</v>
      </c>
      <c r="D354" s="113">
        <v>0.0731826086956523</v>
      </c>
      <c r="E354" s="80"/>
      <c r="F354" s="81">
        <v>0.0128452173913043</v>
      </c>
      <c r="G354" s="81">
        <v>0</v>
      </c>
    </row>
    <row r="355" ht="15.75" spans="1:7">
      <c r="A355" s="283" t="s">
        <v>190</v>
      </c>
      <c r="B355" s="93">
        <v>60</v>
      </c>
      <c r="C355" s="79">
        <f t="shared" si="5"/>
        <v>57.5</v>
      </c>
      <c r="D355" s="113">
        <v>0.1118</v>
      </c>
      <c r="E355" s="80">
        <v>0.01118</v>
      </c>
      <c r="F355" s="81">
        <v>0.0164766666666667</v>
      </c>
      <c r="G355" s="81">
        <v>0</v>
      </c>
    </row>
    <row r="356" ht="15.75" spans="1:7">
      <c r="A356" s="283" t="s">
        <v>191</v>
      </c>
      <c r="B356" s="93">
        <v>62.5</v>
      </c>
      <c r="C356" s="79">
        <f t="shared" si="5"/>
        <v>60</v>
      </c>
      <c r="D356" s="113">
        <v>0.147328</v>
      </c>
      <c r="E356" s="80">
        <v>0.0147328</v>
      </c>
      <c r="F356" s="81">
        <v>0.0198176</v>
      </c>
      <c r="G356" s="81">
        <v>0</v>
      </c>
    </row>
    <row r="357" ht="15.75" spans="1:7">
      <c r="A357" s="283" t="s">
        <v>192</v>
      </c>
      <c r="B357" s="93">
        <v>65.3</v>
      </c>
      <c r="C357" s="79">
        <f t="shared" si="5"/>
        <v>62.5</v>
      </c>
      <c r="D357" s="113">
        <v>0.183889739663093</v>
      </c>
      <c r="E357" s="80">
        <v>0.0183889739663093</v>
      </c>
      <c r="F357" s="81">
        <v>0.0232557427258805</v>
      </c>
      <c r="G357" s="81">
        <v>0.00361408882082695</v>
      </c>
    </row>
    <row r="358" ht="15.75" spans="1:7">
      <c r="A358" s="283" t="s">
        <v>193</v>
      </c>
      <c r="B358" s="93">
        <v>68.8</v>
      </c>
      <c r="C358" s="79">
        <f t="shared" si="5"/>
        <v>65.3</v>
      </c>
      <c r="D358" s="113">
        <v>0.225406976744186</v>
      </c>
      <c r="E358" s="80">
        <v>0.0225406976744186</v>
      </c>
      <c r="F358" s="81">
        <v>0.0271598837209302</v>
      </c>
      <c r="G358" s="81">
        <v>0.00851744186046512</v>
      </c>
    </row>
    <row r="359" ht="15.75" spans="1:7">
      <c r="A359" s="283" t="s">
        <v>194</v>
      </c>
      <c r="B359" s="93">
        <v>71.6</v>
      </c>
      <c r="C359" s="79">
        <f t="shared" si="5"/>
        <v>68.8</v>
      </c>
      <c r="D359" s="113">
        <v>0.255698324022346</v>
      </c>
      <c r="E359" s="80">
        <v>0.0255698324022346</v>
      </c>
      <c r="F359" s="81">
        <v>0.0300083798882681</v>
      </c>
      <c r="G359" s="81">
        <v>0.0120949720670391</v>
      </c>
    </row>
    <row r="360" ht="15.75" spans="1:7">
      <c r="A360" s="283" t="s">
        <v>195</v>
      </c>
      <c r="B360" s="93">
        <v>74.5</v>
      </c>
      <c r="C360" s="79">
        <f t="shared" si="5"/>
        <v>71.6</v>
      </c>
      <c r="D360" s="113">
        <v>0.284671140939597</v>
      </c>
      <c r="E360" s="80">
        <v>0.0284671140939597</v>
      </c>
      <c r="F360" s="81">
        <v>0.0327328859060403</v>
      </c>
      <c r="G360" s="81">
        <v>0.0155167785234899</v>
      </c>
    </row>
    <row r="361" ht="15.75" spans="1:7">
      <c r="A361" s="283" t="s">
        <v>196</v>
      </c>
      <c r="B361" s="93">
        <v>77.4</v>
      </c>
      <c r="C361" s="79">
        <f t="shared" si="5"/>
        <v>74.5</v>
      </c>
      <c r="D361" s="113">
        <v>0.311472868217054</v>
      </c>
      <c r="E361" s="80">
        <v>0.0311472868217054</v>
      </c>
      <c r="F361" s="81">
        <v>0.0352532299741602</v>
      </c>
      <c r="G361" s="81">
        <v>0.0186821705426357</v>
      </c>
    </row>
    <row r="362" ht="15.75" spans="1:7">
      <c r="A362" s="283" t="s">
        <v>197</v>
      </c>
      <c r="B362" s="93">
        <v>80.2</v>
      </c>
      <c r="C362" s="79">
        <f t="shared" si="5"/>
        <v>77.4</v>
      </c>
      <c r="D362" s="113">
        <v>0.335511221945137</v>
      </c>
      <c r="E362" s="80">
        <v>0.0335511221945137</v>
      </c>
      <c r="F362" s="81">
        <v>0.0375137157107232</v>
      </c>
      <c r="G362" s="81">
        <v>0.0215211970074813</v>
      </c>
    </row>
    <row r="363" ht="15.75" spans="1:7">
      <c r="A363" s="283" t="s">
        <v>198</v>
      </c>
      <c r="B363" s="93">
        <v>83.5</v>
      </c>
      <c r="C363" s="79">
        <f t="shared" si="5"/>
        <v>80.2</v>
      </c>
      <c r="D363" s="113">
        <v>0.36177245508982</v>
      </c>
      <c r="E363" s="80">
        <v>0.036177245508982</v>
      </c>
      <c r="F363" s="81">
        <v>0.0399832335329341</v>
      </c>
      <c r="G363" s="81">
        <v>0.024622754491018</v>
      </c>
    </row>
    <row r="364" ht="15.75" spans="1:7">
      <c r="A364" s="283" t="s">
        <v>199</v>
      </c>
      <c r="B364" s="93">
        <v>87.3</v>
      </c>
      <c r="C364" s="79">
        <f t="shared" si="5"/>
        <v>83.5</v>
      </c>
      <c r="D364" s="113">
        <v>0.389553264604811</v>
      </c>
      <c r="E364" s="80">
        <v>0.0389553264604811</v>
      </c>
      <c r="F364" s="81">
        <v>0.055573883161512</v>
      </c>
      <c r="G364" s="81">
        <v>0.0279037800687285</v>
      </c>
    </row>
    <row r="365" ht="15.75" spans="1:7">
      <c r="A365" s="283" t="s">
        <v>200</v>
      </c>
      <c r="B365" s="93">
        <v>91.1</v>
      </c>
      <c r="C365" s="79">
        <f t="shared" si="5"/>
        <v>87.3</v>
      </c>
      <c r="D365" s="113">
        <v>0.415016465422613</v>
      </c>
      <c r="E365" s="80">
        <v>0.0490098792535675</v>
      </c>
      <c r="F365" s="81">
        <v>0.0699407244785949</v>
      </c>
      <c r="G365" s="81">
        <v>0.0309110867178924</v>
      </c>
    </row>
    <row r="366" ht="15.75" spans="1:7">
      <c r="A366" s="283" t="s">
        <v>201</v>
      </c>
      <c r="B366" s="93">
        <v>94.9</v>
      </c>
      <c r="C366" s="79">
        <f t="shared" si="5"/>
        <v>91.1</v>
      </c>
      <c r="D366" s="113">
        <v>0.438440463645943</v>
      </c>
      <c r="E366" s="80">
        <v>0.0630642781875659</v>
      </c>
      <c r="F366" s="81">
        <v>0.0831570073761855</v>
      </c>
      <c r="G366" s="81">
        <v>0.0336775553213909</v>
      </c>
    </row>
    <row r="367" ht="15.75" spans="1:7">
      <c r="A367" s="283" t="s">
        <v>202</v>
      </c>
      <c r="B367" s="93">
        <v>99.5</v>
      </c>
      <c r="C367" s="79">
        <f t="shared" si="5"/>
        <v>94.9</v>
      </c>
      <c r="D367" s="113">
        <v>0.464402010050251</v>
      </c>
      <c r="E367" s="80">
        <v>0.0786412060301508</v>
      </c>
      <c r="F367" s="81">
        <v>0.0978050251256281</v>
      </c>
      <c r="G367" s="81">
        <v>0.0367437185929648</v>
      </c>
    </row>
    <row r="368" ht="15.75" spans="1:7">
      <c r="A368" s="283" t="s">
        <v>203</v>
      </c>
      <c r="B368" s="93">
        <v>104.4</v>
      </c>
      <c r="C368" s="79">
        <f t="shared" si="5"/>
        <v>99.5</v>
      </c>
      <c r="D368" s="113">
        <v>0.489540229885058</v>
      </c>
      <c r="E368" s="80">
        <v>0.0937241379310345</v>
      </c>
      <c r="F368" s="81">
        <v>0.111988505747126</v>
      </c>
      <c r="G368" s="81">
        <v>0.0397126436781609</v>
      </c>
    </row>
    <row r="369" ht="15.75" spans="1:7">
      <c r="A369" s="283" t="s">
        <v>204</v>
      </c>
      <c r="B369" s="93">
        <v>108.6</v>
      </c>
      <c r="C369" s="79">
        <f t="shared" si="5"/>
        <v>104.4</v>
      </c>
      <c r="D369" s="113">
        <v>0.509281767955801</v>
      </c>
      <c r="E369" s="80">
        <v>0.105569060773481</v>
      </c>
      <c r="F369" s="81">
        <v>0.123127071823204</v>
      </c>
      <c r="G369" s="81">
        <v>0.0522651933701657</v>
      </c>
    </row>
    <row r="370" ht="15.75" spans="1:7">
      <c r="A370" s="283" t="s">
        <v>205</v>
      </c>
      <c r="B370" s="93">
        <v>112.6</v>
      </c>
      <c r="C370" s="79">
        <f t="shared" si="5"/>
        <v>108.6</v>
      </c>
      <c r="D370" s="113">
        <v>0.526714031971581</v>
      </c>
      <c r="E370" s="80">
        <v>0.116028419182948</v>
      </c>
      <c r="F370" s="81">
        <v>0.13296269982238</v>
      </c>
      <c r="G370" s="81">
        <v>0.0646181172291296</v>
      </c>
    </row>
    <row r="371" ht="15.75" spans="1:7">
      <c r="A371" s="283" t="s">
        <v>206</v>
      </c>
      <c r="B371" s="93">
        <v>117.7</v>
      </c>
      <c r="C371" s="79">
        <f t="shared" si="5"/>
        <v>112.6</v>
      </c>
      <c r="D371" s="113">
        <v>0.547221750212404</v>
      </c>
      <c r="E371" s="80">
        <v>0.128333050127443</v>
      </c>
      <c r="F371" s="81">
        <v>0.144533559898046</v>
      </c>
      <c r="G371" s="81">
        <v>0.0791503823279524</v>
      </c>
    </row>
    <row r="372" ht="15.75" spans="1:7">
      <c r="A372" s="283" t="s">
        <v>207</v>
      </c>
      <c r="B372" s="93">
        <v>122.9</v>
      </c>
      <c r="C372" s="79">
        <f t="shared" si="5"/>
        <v>117.7</v>
      </c>
      <c r="D372" s="113">
        <v>0.566379170056957</v>
      </c>
      <c r="E372" s="80">
        <v>0.139827502034174</v>
      </c>
      <c r="F372" s="81">
        <v>0.155342554922701</v>
      </c>
      <c r="G372" s="81">
        <v>0.0927257933279089</v>
      </c>
    </row>
    <row r="373" ht="15.75" spans="1:7">
      <c r="A373" s="283" t="s">
        <v>208</v>
      </c>
      <c r="B373" s="93">
        <v>128.2</v>
      </c>
      <c r="C373" s="79">
        <f t="shared" si="5"/>
        <v>122.9</v>
      </c>
      <c r="D373" s="113">
        <v>0.584305772230889</v>
      </c>
      <c r="E373" s="80">
        <v>0.150583463338534</v>
      </c>
      <c r="F373" s="81">
        <v>0.165457098283931</v>
      </c>
      <c r="G373" s="81">
        <v>0.105429017160686</v>
      </c>
    </row>
    <row r="374" ht="15.75" spans="1:7">
      <c r="A374" s="283" t="s">
        <v>209</v>
      </c>
      <c r="B374" s="93">
        <v>132.8</v>
      </c>
      <c r="C374" s="79">
        <f t="shared" si="5"/>
        <v>128.2</v>
      </c>
      <c r="D374" s="113">
        <v>0.598704819277109</v>
      </c>
      <c r="E374" s="80">
        <v>0.159222891566265</v>
      </c>
      <c r="F374" s="81">
        <v>0.173581325301205</v>
      </c>
      <c r="G374" s="81">
        <v>0.115632530120482</v>
      </c>
    </row>
    <row r="375" ht="15.75" spans="1:7">
      <c r="A375" s="283" t="s">
        <v>210</v>
      </c>
      <c r="B375" s="93">
        <v>138.4</v>
      </c>
      <c r="C375" s="79">
        <f t="shared" si="5"/>
        <v>132.8</v>
      </c>
      <c r="D375" s="113">
        <v>0.614942196531792</v>
      </c>
      <c r="E375" s="80">
        <v>0.168965317919075</v>
      </c>
      <c r="F375" s="81">
        <v>0.182742774566474</v>
      </c>
      <c r="G375" s="81">
        <v>0.127138728323699</v>
      </c>
    </row>
    <row r="376" ht="15.75" spans="1:7">
      <c r="A376" s="283" t="s">
        <v>211</v>
      </c>
      <c r="B376" s="93">
        <v>145.4</v>
      </c>
      <c r="C376" s="79">
        <f t="shared" si="5"/>
        <v>138.4</v>
      </c>
      <c r="D376" s="113">
        <v>0.633480055020633</v>
      </c>
      <c r="E376" s="80">
        <v>0.18008803301238</v>
      </c>
      <c r="F376" s="81">
        <v>0.193202200825309</v>
      </c>
      <c r="G376" s="81">
        <v>0.140275103163686</v>
      </c>
    </row>
    <row r="377" ht="15.75" spans="1:7">
      <c r="A377" s="283" t="s">
        <v>212</v>
      </c>
      <c r="B377" s="93">
        <v>155.8</v>
      </c>
      <c r="C377" s="79">
        <f t="shared" si="5"/>
        <v>145.4</v>
      </c>
      <c r="D377" s="113">
        <v>0.657946084724005</v>
      </c>
      <c r="E377" s="80">
        <v>0.194767650834403</v>
      </c>
      <c r="F377" s="81">
        <v>0.207006418485237</v>
      </c>
      <c r="G377" s="81">
        <v>0.157612323491656</v>
      </c>
    </row>
    <row r="378" ht="15.75" spans="1:7">
      <c r="A378" s="283" t="s">
        <v>213</v>
      </c>
      <c r="B378" s="93">
        <v>167.7</v>
      </c>
      <c r="C378" s="79">
        <f t="shared" si="5"/>
        <v>155.8</v>
      </c>
      <c r="D378" s="113">
        <v>0.68221824686941</v>
      </c>
      <c r="E378" s="80">
        <v>0.209330948121646</v>
      </c>
      <c r="F378" s="81">
        <v>0.220701252236136</v>
      </c>
      <c r="G378" s="81">
        <v>0.174812164579606</v>
      </c>
    </row>
    <row r="379" ht="15.75" spans="1:7">
      <c r="A379" s="283" t="s">
        <v>214</v>
      </c>
      <c r="B379" s="93">
        <v>177.7</v>
      </c>
      <c r="C379" s="79">
        <f t="shared" si="5"/>
        <v>167.7</v>
      </c>
      <c r="D379" s="113">
        <v>0.700101294316263</v>
      </c>
      <c r="E379" s="80">
        <v>0.220060776589758</v>
      </c>
      <c r="F379" s="81">
        <v>0.230791221159257</v>
      </c>
      <c r="G379" s="81">
        <v>0.18748452447946</v>
      </c>
    </row>
    <row r="380" ht="15.75" spans="1:7">
      <c r="A380" s="283" t="s">
        <v>215</v>
      </c>
      <c r="B380" s="93">
        <v>190.5</v>
      </c>
      <c r="C380" s="79">
        <f t="shared" si="5"/>
        <v>177.7</v>
      </c>
      <c r="D380" s="113">
        <v>0.720251968503937</v>
      </c>
      <c r="E380" s="80">
        <v>0.232151181102362</v>
      </c>
      <c r="F380" s="81">
        <v>0.24216062992126</v>
      </c>
      <c r="G380" s="81">
        <v>0.201763779527559</v>
      </c>
    </row>
    <row r="381" ht="15.75" spans="1:7">
      <c r="A381" s="283" t="s">
        <v>216</v>
      </c>
      <c r="B381" s="93">
        <v>206.1</v>
      </c>
      <c r="C381" s="79">
        <f t="shared" si="5"/>
        <v>190.5</v>
      </c>
      <c r="D381" s="113">
        <v>0.741426491994178</v>
      </c>
      <c r="E381" s="80">
        <v>0.244855895196507</v>
      </c>
      <c r="F381" s="81">
        <v>0.254107714701601</v>
      </c>
      <c r="G381" s="81">
        <v>0.216768558951965</v>
      </c>
    </row>
    <row r="382" ht="15.75" spans="1:7">
      <c r="A382" s="283" t="s">
        <v>217</v>
      </c>
      <c r="B382" s="93">
        <v>230.6</v>
      </c>
      <c r="C382" s="79">
        <f t="shared" si="5"/>
        <v>206.1</v>
      </c>
      <c r="D382" s="113">
        <v>0.768898525585429</v>
      </c>
      <c r="E382" s="80">
        <v>0.261339115351258</v>
      </c>
      <c r="F382" s="81">
        <v>0.269607979184735</v>
      </c>
      <c r="G382" s="81">
        <v>0.23623590633131</v>
      </c>
    </row>
    <row r="383" ht="15.75" spans="1:7">
      <c r="A383" s="283" t="s">
        <v>218</v>
      </c>
      <c r="B383" s="93">
        <v>261.1</v>
      </c>
      <c r="C383" s="79">
        <f t="shared" si="5"/>
        <v>230.6</v>
      </c>
      <c r="D383" s="113">
        <v>0.795894293374186</v>
      </c>
      <c r="E383" s="80">
        <v>0.277536576024512</v>
      </c>
      <c r="F383" s="81">
        <v>0.284839525086174</v>
      </c>
      <c r="G383" s="81">
        <v>0.255365760245117</v>
      </c>
    </row>
    <row r="384" ht="15.75" spans="1:7">
      <c r="A384" s="283" t="s">
        <v>219</v>
      </c>
      <c r="B384" s="93">
        <v>301.5</v>
      </c>
      <c r="C384" s="79">
        <f t="shared" si="5"/>
        <v>261.1</v>
      </c>
      <c r="D384" s="113">
        <v>0.823243781094527</v>
      </c>
      <c r="E384" s="80">
        <v>0.293946268656716</v>
      </c>
      <c r="F384" s="81">
        <v>0.300270646766169</v>
      </c>
      <c r="G384" s="81">
        <v>0.274746268656716</v>
      </c>
    </row>
    <row r="385" ht="15.75" spans="1:7">
      <c r="A385" s="283" t="s">
        <v>220</v>
      </c>
      <c r="B385" s="93">
        <v>373.4</v>
      </c>
      <c r="C385" s="79">
        <f t="shared" si="5"/>
        <v>301.5</v>
      </c>
      <c r="D385" s="113">
        <v>0.857279057311194</v>
      </c>
      <c r="E385" s="80">
        <v>0.314367434386717</v>
      </c>
      <c r="F385" s="81">
        <v>0.319474022495983</v>
      </c>
      <c r="G385" s="81">
        <v>0.298864488484199</v>
      </c>
    </row>
    <row r="386" ht="15.75" spans="1:7">
      <c r="A386" s="283" t="s">
        <v>221</v>
      </c>
      <c r="B386" s="284">
        <v>572.2</v>
      </c>
      <c r="C386" s="79">
        <f t="shared" si="5"/>
        <v>373.4</v>
      </c>
      <c r="D386" s="113">
        <v>0.906864732610975</v>
      </c>
      <c r="E386" s="80">
        <v>0.344118839566585</v>
      </c>
      <c r="F386" s="81">
        <v>0.347451240824886</v>
      </c>
      <c r="G386" s="81">
        <v>0.334002097168822</v>
      </c>
    </row>
    <row r="387" ht="15.75" spans="1:7">
      <c r="A387" s="257" t="s">
        <v>221</v>
      </c>
      <c r="B387" s="257" t="s">
        <v>395</v>
      </c>
      <c r="C387" s="79">
        <f t="shared" si="5"/>
        <v>572.2</v>
      </c>
      <c r="D387" s="260" t="s">
        <v>124</v>
      </c>
      <c r="E387" s="72"/>
      <c r="F387" s="73"/>
      <c r="G387" s="84"/>
    </row>
    <row r="388" ht="15.75" spans="1:7">
      <c r="A388" s="257"/>
      <c r="B388" s="257"/>
      <c r="D388" s="116" t="s">
        <v>124</v>
      </c>
      <c r="E388" s="261">
        <v>0.0859226925079726</v>
      </c>
      <c r="F388" s="262">
        <v>0.0930464649643692</v>
      </c>
      <c r="G388" s="262">
        <v>0.0677681784926443</v>
      </c>
    </row>
    <row r="389" ht="48.75" spans="1:7">
      <c r="A389" s="256" t="s">
        <v>233</v>
      </c>
      <c r="B389" s="257"/>
      <c r="D389" s="116" t="s">
        <v>124</v>
      </c>
      <c r="E389" s="263">
        <v>88.82</v>
      </c>
      <c r="F389" s="264">
        <v>83.5233333333333</v>
      </c>
      <c r="G389" s="265">
        <v>104.9</v>
      </c>
    </row>
    <row r="390" ht="48.75" spans="1:7">
      <c r="A390" s="256" t="s">
        <v>224</v>
      </c>
      <c r="B390" s="116">
        <v>104.9</v>
      </c>
      <c r="D390" s="72"/>
      <c r="E390" s="72"/>
      <c r="F390" s="73"/>
      <c r="G390" s="73"/>
    </row>
    <row r="391" ht="84.75" spans="1:7">
      <c r="A391" s="266" t="s">
        <v>225</v>
      </c>
      <c r="B391" s="116">
        <v>62.9</v>
      </c>
      <c r="D391" s="72"/>
      <c r="E391" s="72">
        <v>53.292</v>
      </c>
      <c r="F391" s="73">
        <v>50.114</v>
      </c>
      <c r="G391" s="73">
        <v>62.94</v>
      </c>
    </row>
    <row r="394" spans="1:2">
      <c r="A394" s="531" t="s">
        <v>226</v>
      </c>
      <c r="B394" s="95">
        <f>AVERAGE(B342:B381)</f>
        <v>88.82</v>
      </c>
    </row>
    <row r="395" spans="1:2">
      <c r="A395" s="531" t="s">
        <v>227</v>
      </c>
      <c r="B395" s="96">
        <f>AVERAGE(B347:B376)</f>
        <v>83.5233333333333</v>
      </c>
    </row>
    <row r="396" spans="1:2">
      <c r="A396" s="531" t="s">
        <v>228</v>
      </c>
      <c r="B396" s="96">
        <f>AVERAGE(B353:B371)</f>
        <v>82.7421052631579</v>
      </c>
    </row>
    <row r="400" ht="15.75"/>
    <row r="401" ht="15.75" spans="1:7">
      <c r="A401" s="252" t="s">
        <v>165</v>
      </c>
      <c r="B401" s="273" t="s">
        <v>366</v>
      </c>
      <c r="C401" s="274"/>
      <c r="D401" s="275"/>
      <c r="E401" s="70">
        <f>(1-E456)^(1/3)-1</f>
        <v>0</v>
      </c>
      <c r="F401" s="70">
        <f>(1-F456)^(1/3)-1</f>
        <v>0</v>
      </c>
      <c r="G401" s="70"/>
    </row>
    <row r="402" ht="72.75" spans="1:7">
      <c r="A402" s="253"/>
      <c r="B402" s="254" t="s">
        <v>167</v>
      </c>
      <c r="C402">
        <v>0</v>
      </c>
      <c r="D402" s="72" t="s">
        <v>169</v>
      </c>
      <c r="E402" s="72" t="s">
        <v>169</v>
      </c>
      <c r="F402" s="73" t="s">
        <v>169</v>
      </c>
      <c r="G402" s="73"/>
    </row>
    <row r="403" ht="60.75" spans="1:6">
      <c r="A403" s="254"/>
      <c r="B403" s="116" t="s">
        <v>367</v>
      </c>
      <c r="C403" s="79" t="str">
        <f>B402</f>
        <v>Фактическое удельное годовое потребление</v>
      </c>
      <c r="D403" s="271" t="s">
        <v>171</v>
      </c>
      <c r="E403" s="536" t="s">
        <v>227</v>
      </c>
      <c r="F403" s="276"/>
    </row>
    <row r="404" ht="24.75" spans="1:7">
      <c r="A404" s="277">
        <v>1</v>
      </c>
      <c r="B404" s="277"/>
      <c r="C404" s="79" t="str">
        <f t="shared" ref="C404:C452" si="6">B403</f>
        <v>кгут / кв. м</v>
      </c>
      <c r="D404" s="116" t="s">
        <v>367</v>
      </c>
      <c r="E404" s="278">
        <v>5</v>
      </c>
      <c r="F404" s="279">
        <v>6</v>
      </c>
      <c r="G404" s="280"/>
    </row>
    <row r="405" ht="15.75" spans="1:7">
      <c r="A405" s="533" t="s">
        <v>172</v>
      </c>
      <c r="B405" s="257"/>
      <c r="C405" s="79">
        <f t="shared" si="6"/>
        <v>0</v>
      </c>
      <c r="D405" s="281"/>
      <c r="E405" s="80"/>
      <c r="F405" s="81"/>
      <c r="G405" s="81"/>
    </row>
    <row r="406" ht="15.75" spans="1:7">
      <c r="A406" s="533" t="s">
        <v>173</v>
      </c>
      <c r="B406" s="257"/>
      <c r="C406" s="79">
        <f t="shared" si="6"/>
        <v>0</v>
      </c>
      <c r="D406" s="116"/>
      <c r="E406" s="80"/>
      <c r="F406" s="81"/>
      <c r="G406" s="81"/>
    </row>
    <row r="407" ht="15.75" spans="1:7">
      <c r="A407" s="533" t="s">
        <v>174</v>
      </c>
      <c r="B407" s="257"/>
      <c r="C407" s="79">
        <f t="shared" si="6"/>
        <v>0</v>
      </c>
      <c r="D407" s="116"/>
      <c r="E407" s="80"/>
      <c r="F407" s="81"/>
      <c r="G407" s="81"/>
    </row>
    <row r="408" ht="15.75" spans="1:7">
      <c r="A408" s="533" t="s">
        <v>175</v>
      </c>
      <c r="B408" s="257"/>
      <c r="C408" s="79">
        <f t="shared" si="6"/>
        <v>0</v>
      </c>
      <c r="D408" s="116"/>
      <c r="E408" s="80"/>
      <c r="F408" s="81"/>
      <c r="G408" s="81"/>
    </row>
    <row r="409" ht="15.75" spans="1:7">
      <c r="A409" s="533" t="s">
        <v>176</v>
      </c>
      <c r="B409" s="257"/>
      <c r="C409" s="79">
        <f t="shared" si="6"/>
        <v>0</v>
      </c>
      <c r="D409" s="116"/>
      <c r="E409" s="80"/>
      <c r="F409" s="81"/>
      <c r="G409" s="81"/>
    </row>
    <row r="410" ht="15.75" spans="1:7">
      <c r="A410" s="533" t="s">
        <v>177</v>
      </c>
      <c r="B410" s="257"/>
      <c r="C410" s="79">
        <f t="shared" si="6"/>
        <v>0</v>
      </c>
      <c r="D410" s="116"/>
      <c r="E410" s="80"/>
      <c r="F410" s="81"/>
      <c r="G410" s="81"/>
    </row>
    <row r="411" ht="15.75" spans="1:7">
      <c r="A411" s="533" t="s">
        <v>178</v>
      </c>
      <c r="B411" s="257"/>
      <c r="C411" s="79">
        <f t="shared" si="6"/>
        <v>0</v>
      </c>
      <c r="D411" s="116"/>
      <c r="E411" s="80"/>
      <c r="F411" s="81"/>
      <c r="G411" s="81"/>
    </row>
    <row r="412" ht="15.75" spans="1:7">
      <c r="A412" s="257" t="s">
        <v>179</v>
      </c>
      <c r="B412" s="257"/>
      <c r="C412" s="79">
        <f t="shared" si="6"/>
        <v>0</v>
      </c>
      <c r="D412" s="116"/>
      <c r="E412" s="80"/>
      <c r="F412" s="81"/>
      <c r="G412" s="81"/>
    </row>
    <row r="413" ht="15.75" spans="1:7">
      <c r="A413" s="257" t="s">
        <v>180</v>
      </c>
      <c r="B413" s="257"/>
      <c r="C413" s="79">
        <f t="shared" si="6"/>
        <v>0</v>
      </c>
      <c r="D413" s="116"/>
      <c r="E413" s="80"/>
      <c r="F413" s="81"/>
      <c r="G413" s="81"/>
    </row>
    <row r="414" ht="15.75" spans="1:7">
      <c r="A414" s="257" t="s">
        <v>181</v>
      </c>
      <c r="B414" s="257"/>
      <c r="C414" s="79">
        <f t="shared" si="6"/>
        <v>0</v>
      </c>
      <c r="D414" s="116"/>
      <c r="E414" s="80"/>
      <c r="F414" s="81"/>
      <c r="G414" s="81"/>
    </row>
    <row r="415" ht="15.75" spans="1:7">
      <c r="A415" s="257" t="s">
        <v>182</v>
      </c>
      <c r="B415" s="257"/>
      <c r="C415" s="79">
        <f t="shared" si="6"/>
        <v>0</v>
      </c>
      <c r="D415" s="116"/>
      <c r="E415" s="80"/>
      <c r="F415" s="81"/>
      <c r="G415" s="81"/>
    </row>
    <row r="416" ht="15.75" spans="1:7">
      <c r="A416" s="257" t="s">
        <v>183</v>
      </c>
      <c r="B416" s="257"/>
      <c r="C416" s="79">
        <f t="shared" si="6"/>
        <v>0</v>
      </c>
      <c r="D416" s="116"/>
      <c r="E416" s="80"/>
      <c r="F416" s="81"/>
      <c r="G416" s="81"/>
    </row>
    <row r="417" ht="15.75" spans="1:7">
      <c r="A417" s="257" t="s">
        <v>184</v>
      </c>
      <c r="B417" s="257"/>
      <c r="C417" s="79">
        <f t="shared" si="6"/>
        <v>0</v>
      </c>
      <c r="D417" s="116"/>
      <c r="E417" s="80"/>
      <c r="F417" s="81"/>
      <c r="G417" s="81"/>
    </row>
    <row r="418" ht="15.75" spans="1:7">
      <c r="A418" s="257" t="s">
        <v>185</v>
      </c>
      <c r="B418" s="257"/>
      <c r="C418" s="79">
        <f t="shared" si="6"/>
        <v>0</v>
      </c>
      <c r="D418" s="116"/>
      <c r="E418" s="80"/>
      <c r="F418" s="81"/>
      <c r="G418" s="81"/>
    </row>
    <row r="419" ht="15.75" spans="1:7">
      <c r="A419" s="257" t="s">
        <v>186</v>
      </c>
      <c r="B419" s="257"/>
      <c r="C419" s="79">
        <f t="shared" si="6"/>
        <v>0</v>
      </c>
      <c r="D419" s="116"/>
      <c r="E419" s="80"/>
      <c r="F419" s="81"/>
      <c r="G419" s="81"/>
    </row>
    <row r="420" ht="15.75" spans="1:7">
      <c r="A420" s="257" t="s">
        <v>187</v>
      </c>
      <c r="B420" s="257"/>
      <c r="C420" s="79">
        <f t="shared" si="6"/>
        <v>0</v>
      </c>
      <c r="D420" s="116"/>
      <c r="E420" s="80"/>
      <c r="F420" s="81"/>
      <c r="G420" s="81"/>
    </row>
    <row r="421" ht="15.75" spans="1:7">
      <c r="A421" s="257" t="s">
        <v>188</v>
      </c>
      <c r="B421" s="257"/>
      <c r="C421" s="79">
        <f t="shared" si="6"/>
        <v>0</v>
      </c>
      <c r="D421" s="116"/>
      <c r="E421" s="80"/>
      <c r="F421" s="81"/>
      <c r="G421" s="81"/>
    </row>
    <row r="422" ht="15.75" spans="1:7">
      <c r="A422" s="257" t="s">
        <v>189</v>
      </c>
      <c r="B422" s="257"/>
      <c r="C422" s="79">
        <f t="shared" si="6"/>
        <v>0</v>
      </c>
      <c r="D422" s="116"/>
      <c r="E422" s="80"/>
      <c r="F422" s="81"/>
      <c r="G422" s="81"/>
    </row>
    <row r="423" ht="15.75" spans="1:7">
      <c r="A423" s="257" t="s">
        <v>190</v>
      </c>
      <c r="B423" s="257"/>
      <c r="C423" s="79">
        <f t="shared" si="6"/>
        <v>0</v>
      </c>
      <c r="D423" s="116"/>
      <c r="E423" s="80"/>
      <c r="F423" s="81"/>
      <c r="G423" s="81"/>
    </row>
    <row r="424" ht="15.75" spans="1:7">
      <c r="A424" s="257" t="s">
        <v>191</v>
      </c>
      <c r="B424" s="257"/>
      <c r="C424" s="79">
        <f t="shared" si="6"/>
        <v>0</v>
      </c>
      <c r="D424" s="116"/>
      <c r="E424" s="80"/>
      <c r="F424" s="81"/>
      <c r="G424" s="81"/>
    </row>
    <row r="425" ht="15.75" spans="1:7">
      <c r="A425" s="257" t="s">
        <v>192</v>
      </c>
      <c r="B425" s="257"/>
      <c r="C425" s="79">
        <f t="shared" si="6"/>
        <v>0</v>
      </c>
      <c r="D425" s="116"/>
      <c r="E425" s="80"/>
      <c r="F425" s="81"/>
      <c r="G425" s="81"/>
    </row>
    <row r="426" ht="15.75" spans="1:7">
      <c r="A426" s="257" t="s">
        <v>193</v>
      </c>
      <c r="B426" s="257"/>
      <c r="C426" s="79">
        <f t="shared" si="6"/>
        <v>0</v>
      </c>
      <c r="D426" s="116"/>
      <c r="E426" s="80"/>
      <c r="F426" s="81"/>
      <c r="G426" s="81"/>
    </row>
    <row r="427" ht="15.75" spans="1:7">
      <c r="A427" s="257" t="s">
        <v>194</v>
      </c>
      <c r="B427" s="257"/>
      <c r="C427" s="79">
        <f t="shared" si="6"/>
        <v>0</v>
      </c>
      <c r="D427" s="116"/>
      <c r="E427" s="80"/>
      <c r="F427" s="81"/>
      <c r="G427" s="81"/>
    </row>
    <row r="428" ht="15.75" spans="1:7">
      <c r="A428" s="257" t="s">
        <v>195</v>
      </c>
      <c r="B428" s="257"/>
      <c r="C428" s="79">
        <f t="shared" si="6"/>
        <v>0</v>
      </c>
      <c r="D428" s="116"/>
      <c r="E428" s="80"/>
      <c r="F428" s="81"/>
      <c r="G428" s="81"/>
    </row>
    <row r="429" ht="15.75" spans="1:7">
      <c r="A429" s="257" t="s">
        <v>196</v>
      </c>
      <c r="B429" s="257"/>
      <c r="C429" s="79">
        <f t="shared" si="6"/>
        <v>0</v>
      </c>
      <c r="D429" s="116"/>
      <c r="E429" s="80"/>
      <c r="F429" s="81"/>
      <c r="G429" s="81"/>
    </row>
    <row r="430" ht="15.75" spans="1:7">
      <c r="A430" s="257" t="s">
        <v>197</v>
      </c>
      <c r="B430" s="257"/>
      <c r="C430" s="79">
        <f t="shared" si="6"/>
        <v>0</v>
      </c>
      <c r="D430" s="116"/>
      <c r="E430" s="80"/>
      <c r="F430" s="81"/>
      <c r="G430" s="81"/>
    </row>
    <row r="431" ht="15.75" spans="1:7">
      <c r="A431" s="257" t="s">
        <v>198</v>
      </c>
      <c r="B431" s="257"/>
      <c r="C431" s="79">
        <f t="shared" si="6"/>
        <v>0</v>
      </c>
      <c r="D431" s="116"/>
      <c r="E431" s="80"/>
      <c r="F431" s="81"/>
      <c r="G431" s="81"/>
    </row>
    <row r="432" ht="15.75" spans="1:7">
      <c r="A432" s="257" t="s">
        <v>199</v>
      </c>
      <c r="B432" s="257"/>
      <c r="C432" s="79">
        <f t="shared" si="6"/>
        <v>0</v>
      </c>
      <c r="D432" s="116"/>
      <c r="E432" s="80"/>
      <c r="F432" s="81"/>
      <c r="G432" s="81"/>
    </row>
    <row r="433" ht="15.75" spans="1:7">
      <c r="A433" s="257" t="s">
        <v>200</v>
      </c>
      <c r="B433" s="257"/>
      <c r="C433" s="79">
        <f t="shared" si="6"/>
        <v>0</v>
      </c>
      <c r="D433" s="116"/>
      <c r="E433" s="80"/>
      <c r="F433" s="81"/>
      <c r="G433" s="81"/>
    </row>
    <row r="434" ht="15.75" spans="1:7">
      <c r="A434" s="257" t="s">
        <v>201</v>
      </c>
      <c r="B434" s="257"/>
      <c r="C434" s="79">
        <f t="shared" si="6"/>
        <v>0</v>
      </c>
      <c r="D434" s="116"/>
      <c r="E434" s="80"/>
      <c r="F434" s="81"/>
      <c r="G434" s="81"/>
    </row>
    <row r="435" ht="15.75" spans="1:7">
      <c r="A435" s="257" t="s">
        <v>202</v>
      </c>
      <c r="B435" s="257"/>
      <c r="C435" s="79">
        <f t="shared" si="6"/>
        <v>0</v>
      </c>
      <c r="D435" s="116"/>
      <c r="E435" s="80"/>
      <c r="F435" s="81"/>
      <c r="G435" s="81"/>
    </row>
    <row r="436" ht="15.75" spans="1:7">
      <c r="A436" s="257" t="s">
        <v>203</v>
      </c>
      <c r="B436" s="257"/>
      <c r="C436" s="79">
        <f t="shared" si="6"/>
        <v>0</v>
      </c>
      <c r="D436" s="116"/>
      <c r="E436" s="80"/>
      <c r="F436" s="81"/>
      <c r="G436" s="81"/>
    </row>
    <row r="437" ht="15.75" spans="1:7">
      <c r="A437" s="257" t="s">
        <v>204</v>
      </c>
      <c r="B437" s="257"/>
      <c r="C437" s="79">
        <f t="shared" si="6"/>
        <v>0</v>
      </c>
      <c r="D437" s="116"/>
      <c r="E437" s="80"/>
      <c r="F437" s="81"/>
      <c r="G437" s="81"/>
    </row>
    <row r="438" ht="15.75" spans="1:7">
      <c r="A438" s="257" t="s">
        <v>205</v>
      </c>
      <c r="B438" s="257"/>
      <c r="C438" s="79">
        <f t="shared" si="6"/>
        <v>0</v>
      </c>
      <c r="D438" s="116"/>
      <c r="E438" s="80"/>
      <c r="F438" s="81"/>
      <c r="G438" s="81"/>
    </row>
    <row r="439" ht="15.75" spans="1:7">
      <c r="A439" s="257" t="s">
        <v>206</v>
      </c>
      <c r="B439" s="257"/>
      <c r="C439" s="79">
        <f t="shared" si="6"/>
        <v>0</v>
      </c>
      <c r="D439" s="116"/>
      <c r="E439" s="80"/>
      <c r="F439" s="81"/>
      <c r="G439" s="81"/>
    </row>
    <row r="440" ht="15.75" spans="1:7">
      <c r="A440" s="257" t="s">
        <v>207</v>
      </c>
      <c r="B440" s="257"/>
      <c r="C440" s="79">
        <f t="shared" si="6"/>
        <v>0</v>
      </c>
      <c r="D440" s="116"/>
      <c r="E440" s="80"/>
      <c r="F440" s="81"/>
      <c r="G440" s="81"/>
    </row>
    <row r="441" ht="15.75" spans="1:7">
      <c r="A441" s="257" t="s">
        <v>208</v>
      </c>
      <c r="B441" s="257"/>
      <c r="C441" s="79">
        <f t="shared" si="6"/>
        <v>0</v>
      </c>
      <c r="D441" s="116"/>
      <c r="E441" s="80"/>
      <c r="F441" s="81"/>
      <c r="G441" s="81"/>
    </row>
    <row r="442" ht="15.75" spans="1:7">
      <c r="A442" s="257" t="s">
        <v>209</v>
      </c>
      <c r="B442" s="257"/>
      <c r="C442" s="79">
        <f t="shared" si="6"/>
        <v>0</v>
      </c>
      <c r="D442" s="116"/>
      <c r="E442" s="80"/>
      <c r="F442" s="81"/>
      <c r="G442" s="81"/>
    </row>
    <row r="443" ht="15.75" spans="1:7">
      <c r="A443" s="257" t="s">
        <v>210</v>
      </c>
      <c r="B443" s="257"/>
      <c r="C443" s="79">
        <f t="shared" si="6"/>
        <v>0</v>
      </c>
      <c r="D443" s="116"/>
      <c r="E443" s="80"/>
      <c r="F443" s="81"/>
      <c r="G443" s="81"/>
    </row>
    <row r="444" ht="15.75" spans="1:7">
      <c r="A444" s="257" t="s">
        <v>211</v>
      </c>
      <c r="B444" s="257"/>
      <c r="C444" s="79">
        <f t="shared" si="6"/>
        <v>0</v>
      </c>
      <c r="D444" s="116"/>
      <c r="E444" s="80"/>
      <c r="F444" s="81"/>
      <c r="G444" s="81"/>
    </row>
    <row r="445" ht="15.75" spans="1:7">
      <c r="A445" s="257" t="s">
        <v>212</v>
      </c>
      <c r="B445" s="257"/>
      <c r="C445" s="79">
        <f t="shared" si="6"/>
        <v>0</v>
      </c>
      <c r="D445" s="116"/>
      <c r="E445" s="80"/>
      <c r="F445" s="81"/>
      <c r="G445" s="81"/>
    </row>
    <row r="446" ht="15.75" spans="1:7">
      <c r="A446" s="257" t="s">
        <v>213</v>
      </c>
      <c r="B446" s="257"/>
      <c r="C446" s="79">
        <f t="shared" si="6"/>
        <v>0</v>
      </c>
      <c r="D446" s="116"/>
      <c r="E446" s="80"/>
      <c r="F446" s="81"/>
      <c r="G446" s="81"/>
    </row>
    <row r="447" ht="15.75" spans="1:7">
      <c r="A447" s="257" t="s">
        <v>214</v>
      </c>
      <c r="B447" s="257"/>
      <c r="C447" s="79">
        <f t="shared" si="6"/>
        <v>0</v>
      </c>
      <c r="D447" s="116"/>
      <c r="E447" s="80"/>
      <c r="F447" s="81"/>
      <c r="G447" s="81"/>
    </row>
    <row r="448" ht="15.75" spans="1:7">
      <c r="A448" s="257" t="s">
        <v>215</v>
      </c>
      <c r="B448" s="257"/>
      <c r="C448" s="79">
        <f t="shared" si="6"/>
        <v>0</v>
      </c>
      <c r="D448" s="116"/>
      <c r="E448" s="80"/>
      <c r="F448" s="81"/>
      <c r="G448" s="81"/>
    </row>
    <row r="449" ht="15.75" spans="1:7">
      <c r="A449" s="257" t="s">
        <v>216</v>
      </c>
      <c r="B449" s="257"/>
      <c r="C449" s="79">
        <f t="shared" si="6"/>
        <v>0</v>
      </c>
      <c r="D449" s="116"/>
      <c r="E449" s="80"/>
      <c r="F449" s="81"/>
      <c r="G449" s="81"/>
    </row>
    <row r="450" ht="15.75" spans="1:7">
      <c r="A450" s="257" t="s">
        <v>217</v>
      </c>
      <c r="B450" s="257"/>
      <c r="C450" s="79">
        <f t="shared" si="6"/>
        <v>0</v>
      </c>
      <c r="D450" s="116"/>
      <c r="E450" s="80"/>
      <c r="F450" s="81"/>
      <c r="G450" s="81"/>
    </row>
    <row r="451" ht="15.75" spans="1:7">
      <c r="A451" s="257" t="s">
        <v>218</v>
      </c>
      <c r="B451" s="257"/>
      <c r="C451" s="79">
        <f t="shared" si="6"/>
        <v>0</v>
      </c>
      <c r="D451" s="116"/>
      <c r="E451" s="80"/>
      <c r="F451" s="81"/>
      <c r="G451" s="81"/>
    </row>
    <row r="452" ht="15.75" spans="1:7">
      <c r="A452" s="257" t="s">
        <v>219</v>
      </c>
      <c r="B452" s="257"/>
      <c r="C452" s="79">
        <f t="shared" si="6"/>
        <v>0</v>
      </c>
      <c r="D452" s="116"/>
      <c r="E452" s="80"/>
      <c r="F452" s="81"/>
      <c r="G452" s="81"/>
    </row>
    <row r="453" ht="15.75" spans="1:7">
      <c r="A453" s="257" t="s">
        <v>220</v>
      </c>
      <c r="B453" s="257"/>
      <c r="D453" s="116"/>
      <c r="E453" s="80"/>
      <c r="F453" s="81"/>
      <c r="G453" s="81"/>
    </row>
    <row r="454" ht="15.75" spans="1:7">
      <c r="A454" s="257" t="s">
        <v>221</v>
      </c>
      <c r="B454" s="257"/>
      <c r="D454" s="116"/>
      <c r="E454" s="80"/>
      <c r="F454" s="81"/>
      <c r="G454" s="81"/>
    </row>
    <row r="455" ht="15.75" spans="1:7">
      <c r="A455" s="257" t="s">
        <v>221</v>
      </c>
      <c r="B455" s="257"/>
      <c r="D455" s="260"/>
      <c r="E455" s="72"/>
      <c r="F455" s="73"/>
      <c r="G455" s="84"/>
    </row>
    <row r="456" ht="15.75" spans="1:7">
      <c r="A456" s="257"/>
      <c r="B456" s="257"/>
      <c r="D456" s="116"/>
      <c r="E456" s="261"/>
      <c r="F456" s="262"/>
      <c r="G456" s="262"/>
    </row>
    <row r="457" ht="48.75" spans="1:7">
      <c r="A457" s="256" t="s">
        <v>233</v>
      </c>
      <c r="B457" s="257"/>
      <c r="D457" s="116"/>
      <c r="E457" s="263"/>
      <c r="F457" s="264"/>
      <c r="G457" s="265"/>
    </row>
    <row r="458" ht="48.75" spans="1:7">
      <c r="A458" s="256" t="s">
        <v>224</v>
      </c>
      <c r="B458" s="116"/>
      <c r="D458" s="72"/>
      <c r="E458" s="72"/>
      <c r="F458" s="73"/>
      <c r="G458" s="73"/>
    </row>
    <row r="459" ht="84.75" spans="1:7">
      <c r="A459" s="266" t="s">
        <v>225</v>
      </c>
      <c r="B459" s="116"/>
      <c r="D459" s="72"/>
      <c r="E459" s="72">
        <f>0.6*E457</f>
        <v>0</v>
      </c>
      <c r="F459" s="73">
        <f>0.6*F457</f>
        <v>0</v>
      </c>
      <c r="G459" s="73"/>
    </row>
    <row r="462" spans="1:2">
      <c r="A462" s="531" t="s">
        <v>226</v>
      </c>
      <c r="B462" s="95" t="e">
        <f>AVERAGE(B410:B449)</f>
        <v>#DIV/0!</v>
      </c>
    </row>
    <row r="463" spans="1:2">
      <c r="A463" s="531" t="s">
        <v>227</v>
      </c>
      <c r="B463" s="96" t="e">
        <f>AVERAGE(B415:B444)</f>
        <v>#DIV/0!</v>
      </c>
    </row>
    <row r="464" spans="1:2">
      <c r="A464" s="531" t="s">
        <v>228</v>
      </c>
      <c r="B464" s="96" t="e">
        <f>AVERAGE(B421:B439)</f>
        <v>#DIV/0!</v>
      </c>
    </row>
  </sheetData>
  <mergeCells count="14">
    <mergeCell ref="B2:D2"/>
    <mergeCell ref="B69:D69"/>
    <mergeCell ref="B134:D134"/>
    <mergeCell ref="B200:D200"/>
    <mergeCell ref="B266:D266"/>
    <mergeCell ref="B333:D333"/>
    <mergeCell ref="B401:D401"/>
    <mergeCell ref="A2:A4"/>
    <mergeCell ref="A69:A71"/>
    <mergeCell ref="A134:A136"/>
    <mergeCell ref="A200:A202"/>
    <mergeCell ref="A266:A268"/>
    <mergeCell ref="A333:A335"/>
    <mergeCell ref="A401:A403"/>
  </mergeCells>
  <pageMargins left="0.7" right="0.7" top="0.75" bottom="0.75" header="0.3" footer="0.3"/>
  <pageSetup paperSize="9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Лист15">
    <tabColor rgb="FF92D050"/>
  </sheetPr>
  <dimension ref="A1:J464"/>
  <sheetViews>
    <sheetView topLeftCell="A4" workbookViewId="0">
      <selection activeCell="E19" sqref="E19"/>
    </sheetView>
  </sheetViews>
  <sheetFormatPr defaultColWidth="8.72380952380952" defaultRowHeight="15"/>
  <cols>
    <col min="3" max="3" width="9.18095238095238"/>
    <col min="5" max="5" width="9.45714285714286" customWidth="1"/>
    <col min="6" max="6" width="9.26666666666667" style="64"/>
    <col min="7" max="7" width="9.45714285714286" style="64" customWidth="1"/>
  </cols>
  <sheetData>
    <row r="1" ht="15.75" spans="4:6">
      <c r="D1" s="65">
        <v>0.1</v>
      </c>
      <c r="E1" s="65">
        <v>0.4</v>
      </c>
      <c r="F1" s="70">
        <f>(1-E64)^(1/3)-1</f>
        <v>-0.0286043729920843</v>
      </c>
    </row>
    <row r="2" ht="23.25" customHeight="1" spans="1:7">
      <c r="A2" s="252" t="s">
        <v>165</v>
      </c>
      <c r="B2" s="67" t="s">
        <v>166</v>
      </c>
      <c r="C2" s="68"/>
      <c r="D2" s="69"/>
      <c r="F2" s="70">
        <f>(1-F64)^(1/3)-1</f>
        <v>-0.0294496627992838</v>
      </c>
      <c r="G2" s="70"/>
    </row>
    <row r="3" ht="72.75" spans="1:7">
      <c r="A3" s="253"/>
      <c r="B3" s="72" t="s">
        <v>167</v>
      </c>
      <c r="C3" s="72"/>
      <c r="D3" s="72" t="s">
        <v>168</v>
      </c>
      <c r="E3" s="72" t="s">
        <v>169</v>
      </c>
      <c r="F3" s="73" t="s">
        <v>169</v>
      </c>
      <c r="G3" s="73"/>
    </row>
    <row r="4" ht="16.5" customHeight="1" spans="1:7">
      <c r="A4" s="254"/>
      <c r="B4" s="72" t="s">
        <v>170</v>
      </c>
      <c r="C4" s="72"/>
      <c r="D4" s="72" t="s">
        <v>171</v>
      </c>
      <c r="E4" s="72" t="s">
        <v>171</v>
      </c>
      <c r="F4" s="73" t="s">
        <v>171</v>
      </c>
      <c r="G4" s="73"/>
    </row>
    <row r="5" spans="1:7">
      <c r="A5" s="75">
        <v>1</v>
      </c>
      <c r="B5" s="76">
        <v>2</v>
      </c>
      <c r="C5" s="76"/>
      <c r="D5" s="76">
        <v>3</v>
      </c>
      <c r="E5" s="76">
        <v>4</v>
      </c>
      <c r="F5" s="77">
        <v>5</v>
      </c>
      <c r="G5" s="77"/>
    </row>
    <row r="6" spans="1:7">
      <c r="A6" s="530" t="s">
        <v>172</v>
      </c>
      <c r="B6" s="137">
        <v>4.6</v>
      </c>
      <c r="C6" s="79">
        <v>0</v>
      </c>
      <c r="D6" s="80">
        <v>0</v>
      </c>
      <c r="E6" s="80">
        <v>0</v>
      </c>
      <c r="F6" s="81">
        <v>0</v>
      </c>
      <c r="G6" s="81">
        <v>0</v>
      </c>
    </row>
    <row r="7" spans="1:7">
      <c r="A7" s="530" t="s">
        <v>173</v>
      </c>
      <c r="B7" s="137">
        <v>10.6</v>
      </c>
      <c r="C7" s="79">
        <f>B6</f>
        <v>4.6</v>
      </c>
      <c r="D7" s="80">
        <v>0</v>
      </c>
      <c r="E7" s="80">
        <v>0</v>
      </c>
      <c r="F7" s="81">
        <v>0</v>
      </c>
      <c r="G7" s="81">
        <v>0.060377358490566</v>
      </c>
    </row>
    <row r="8" spans="1:7">
      <c r="A8" s="530" t="s">
        <v>174</v>
      </c>
      <c r="B8" s="137">
        <v>14.2</v>
      </c>
      <c r="C8" s="79">
        <f t="shared" ref="C8:C56" si="0">B7</f>
        <v>10.6</v>
      </c>
      <c r="D8" s="80">
        <v>0</v>
      </c>
      <c r="E8" s="80">
        <v>0</v>
      </c>
      <c r="F8" s="81">
        <v>0</v>
      </c>
      <c r="G8" s="81">
        <v>0.146478873239437</v>
      </c>
    </row>
    <row r="9" spans="1:7">
      <c r="A9" s="530" t="s">
        <v>175</v>
      </c>
      <c r="B9" s="137">
        <v>16.5</v>
      </c>
      <c r="C9" s="79">
        <f t="shared" si="0"/>
        <v>14.2</v>
      </c>
      <c r="D9" s="80">
        <v>0</v>
      </c>
      <c r="E9" s="80">
        <v>0</v>
      </c>
      <c r="F9" s="81">
        <v>0</v>
      </c>
      <c r="G9" s="81">
        <v>0.181818181818182</v>
      </c>
    </row>
    <row r="10" spans="1:7">
      <c r="A10" s="530" t="s">
        <v>176</v>
      </c>
      <c r="B10" s="137">
        <v>18.3</v>
      </c>
      <c r="C10" s="79">
        <f t="shared" si="0"/>
        <v>16.5</v>
      </c>
      <c r="D10" s="80">
        <v>0</v>
      </c>
      <c r="E10" s="80">
        <v>0</v>
      </c>
      <c r="F10" s="81">
        <v>0</v>
      </c>
      <c r="G10" s="81">
        <v>0.20327868852459</v>
      </c>
    </row>
    <row r="11" spans="1:7">
      <c r="A11" s="530" t="s">
        <v>177</v>
      </c>
      <c r="B11" s="137">
        <v>19.9</v>
      </c>
      <c r="C11" s="79">
        <f t="shared" si="0"/>
        <v>18.3</v>
      </c>
      <c r="D11" s="80">
        <v>0</v>
      </c>
      <c r="E11" s="80">
        <v>0</v>
      </c>
      <c r="F11" s="81">
        <v>0</v>
      </c>
      <c r="G11" s="81">
        <v>0.219095477386935</v>
      </c>
    </row>
    <row r="12" spans="1:7">
      <c r="A12" s="530" t="s">
        <v>178</v>
      </c>
      <c r="B12" s="137">
        <v>21.4</v>
      </c>
      <c r="C12" s="79">
        <f t="shared" si="0"/>
        <v>19.9</v>
      </c>
      <c r="D12" s="80">
        <v>0</v>
      </c>
      <c r="E12" s="80">
        <v>0</v>
      </c>
      <c r="F12" s="81">
        <v>0</v>
      </c>
      <c r="G12" s="81">
        <v>0.231775700934579</v>
      </c>
    </row>
    <row r="13" spans="1:7">
      <c r="A13" s="78" t="s">
        <v>179</v>
      </c>
      <c r="B13" s="137">
        <v>22.7</v>
      </c>
      <c r="C13" s="79">
        <f t="shared" si="0"/>
        <v>21.4</v>
      </c>
      <c r="D13" s="80">
        <v>0</v>
      </c>
      <c r="E13" s="80">
        <v>0</v>
      </c>
      <c r="F13" s="81">
        <v>0</v>
      </c>
      <c r="G13" s="81">
        <v>0.241409691629956</v>
      </c>
    </row>
    <row r="14" spans="1:7">
      <c r="A14" s="78" t="s">
        <v>180</v>
      </c>
      <c r="B14" s="137">
        <v>23.9</v>
      </c>
      <c r="C14" s="79">
        <f t="shared" si="0"/>
        <v>22.7</v>
      </c>
      <c r="D14" s="80">
        <v>0</v>
      </c>
      <c r="E14" s="80">
        <v>0</v>
      </c>
      <c r="F14" s="81">
        <v>0</v>
      </c>
      <c r="G14" s="81">
        <v>0.249372384937239</v>
      </c>
    </row>
    <row r="15" spans="1:7">
      <c r="A15" s="78" t="s">
        <v>181</v>
      </c>
      <c r="B15" s="137">
        <v>25.1</v>
      </c>
      <c r="C15" s="79">
        <f t="shared" si="0"/>
        <v>23.9</v>
      </c>
      <c r="D15" s="80">
        <v>0</v>
      </c>
      <c r="E15" s="80">
        <v>0</v>
      </c>
      <c r="F15" s="81">
        <v>0</v>
      </c>
      <c r="G15" s="81">
        <v>0.256573705179283</v>
      </c>
    </row>
    <row r="16" spans="1:7">
      <c r="A16" s="78" t="s">
        <v>182</v>
      </c>
      <c r="B16" s="137">
        <v>26.1</v>
      </c>
      <c r="C16" s="79">
        <f t="shared" si="0"/>
        <v>25.1</v>
      </c>
      <c r="D16" s="80">
        <v>0</v>
      </c>
      <c r="E16" s="80">
        <v>0</v>
      </c>
      <c r="F16" s="81">
        <v>0.00358620689655175</v>
      </c>
      <c r="G16" s="81">
        <v>0.262068965517241</v>
      </c>
    </row>
    <row r="17" spans="1:7">
      <c r="A17" s="78" t="s">
        <v>183</v>
      </c>
      <c r="B17" s="137">
        <v>27.2</v>
      </c>
      <c r="C17" s="79">
        <f t="shared" si="0"/>
        <v>26.1</v>
      </c>
      <c r="D17" s="80">
        <v>0.0354227941176471</v>
      </c>
      <c r="E17" s="80"/>
      <c r="F17" s="81">
        <v>0.00748529411764708</v>
      </c>
      <c r="G17" s="81">
        <v>0.267647058823529</v>
      </c>
    </row>
    <row r="18" spans="1:7">
      <c r="A18" s="78" t="s">
        <v>184</v>
      </c>
      <c r="B18" s="137">
        <v>28.3</v>
      </c>
      <c r="C18" s="79">
        <f t="shared" si="0"/>
        <v>27.2</v>
      </c>
      <c r="D18" s="80">
        <v>0.0729151943462898</v>
      </c>
      <c r="E18" s="80"/>
      <c r="F18" s="81">
        <v>0.0110812720848057</v>
      </c>
      <c r="G18" s="81">
        <v>0.272791519434629</v>
      </c>
    </row>
    <row r="19" spans="1:7">
      <c r="A19" s="78" t="s">
        <v>185</v>
      </c>
      <c r="B19" s="137">
        <v>29.3</v>
      </c>
      <c r="C19" s="79">
        <f t="shared" si="0"/>
        <v>28.3</v>
      </c>
      <c r="D19" s="80">
        <v>0.104556313993174</v>
      </c>
      <c r="E19" s="80">
        <v>0.0104556313993174</v>
      </c>
      <c r="F19" s="81">
        <v>0.0141160409556314</v>
      </c>
      <c r="G19" s="81">
        <v>0.277133105802048</v>
      </c>
    </row>
    <row r="20" spans="1:7">
      <c r="A20" s="78" t="s">
        <v>186</v>
      </c>
      <c r="B20" s="137">
        <v>30.3</v>
      </c>
      <c r="C20" s="79">
        <f t="shared" si="0"/>
        <v>29.3</v>
      </c>
      <c r="D20" s="80">
        <v>0.134108910891089</v>
      </c>
      <c r="E20" s="80">
        <v>0.0134108910891089</v>
      </c>
      <c r="F20" s="81">
        <v>0.016950495049505</v>
      </c>
      <c r="G20" s="81">
        <v>0.281188118811881</v>
      </c>
    </row>
    <row r="21" spans="1:7">
      <c r="A21" s="78" t="s">
        <v>187</v>
      </c>
      <c r="B21" s="137">
        <v>31.3</v>
      </c>
      <c r="C21" s="79">
        <f t="shared" si="0"/>
        <v>30.3</v>
      </c>
      <c r="D21" s="80">
        <v>0.161773162939297</v>
      </c>
      <c r="E21" s="80">
        <v>0.0161773162939297</v>
      </c>
      <c r="F21" s="81">
        <v>0.0196038338658147</v>
      </c>
      <c r="G21" s="81">
        <v>0.284984025559105</v>
      </c>
    </row>
    <row r="22" spans="1:7">
      <c r="A22" s="78" t="s">
        <v>188</v>
      </c>
      <c r="B22" s="137">
        <v>32.3</v>
      </c>
      <c r="C22" s="79">
        <f t="shared" si="0"/>
        <v>31.3</v>
      </c>
      <c r="D22" s="80">
        <v>0.187724458204334</v>
      </c>
      <c r="E22" s="80">
        <v>0.0187724458204334</v>
      </c>
      <c r="F22" s="81">
        <v>0.022092879256966</v>
      </c>
      <c r="G22" s="81">
        <v>0.288544891640867</v>
      </c>
    </row>
    <row r="23" spans="1:7">
      <c r="A23" s="78" t="s">
        <v>189</v>
      </c>
      <c r="B23" s="137">
        <v>34.1</v>
      </c>
      <c r="C23" s="79">
        <f t="shared" si="0"/>
        <v>32.3</v>
      </c>
      <c r="D23" s="80">
        <v>0.230601173020528</v>
      </c>
      <c r="E23" s="80">
        <v>0.0230601173020528</v>
      </c>
      <c r="F23" s="81">
        <v>0.0262052785923754</v>
      </c>
      <c r="G23" s="81">
        <v>0.294428152492669</v>
      </c>
    </row>
    <row r="24" spans="1:7">
      <c r="A24" s="78" t="s">
        <v>190</v>
      </c>
      <c r="B24" s="79">
        <v>35</v>
      </c>
      <c r="C24" s="79">
        <f t="shared" si="0"/>
        <v>34.1</v>
      </c>
      <c r="D24" s="80">
        <v>0.250385714285714</v>
      </c>
      <c r="E24" s="80">
        <v>0.0250385714285714</v>
      </c>
      <c r="F24" s="81">
        <v>0.0281028571428572</v>
      </c>
      <c r="G24" s="81">
        <v>0.297142857142857</v>
      </c>
    </row>
    <row r="25" spans="1:7">
      <c r="A25" s="78" t="s">
        <v>191</v>
      </c>
      <c r="B25" s="137">
        <v>35</v>
      </c>
      <c r="C25" s="79">
        <f t="shared" si="0"/>
        <v>35</v>
      </c>
      <c r="D25" s="80">
        <v>0.250385714285714</v>
      </c>
      <c r="E25" s="80">
        <v>0.0250385714285714</v>
      </c>
      <c r="F25" s="81">
        <v>0.0281028571428572</v>
      </c>
      <c r="G25" s="81">
        <v>0.297142857142857</v>
      </c>
    </row>
    <row r="26" spans="1:7">
      <c r="A26" s="78" t="s">
        <v>192</v>
      </c>
      <c r="B26" s="137">
        <v>35.8</v>
      </c>
      <c r="C26" s="79">
        <f t="shared" si="0"/>
        <v>35</v>
      </c>
      <c r="D26" s="80">
        <v>0.26713687150838</v>
      </c>
      <c r="E26" s="80">
        <v>0.026713687150838</v>
      </c>
      <c r="F26" s="81">
        <v>0.0297094972067039</v>
      </c>
      <c r="G26" s="81">
        <v>0.299441340782123</v>
      </c>
    </row>
    <row r="27" spans="1:7">
      <c r="A27" s="78" t="s">
        <v>193</v>
      </c>
      <c r="B27" s="137">
        <v>36.7</v>
      </c>
      <c r="C27" s="79">
        <f t="shared" si="0"/>
        <v>35.8</v>
      </c>
      <c r="D27" s="80">
        <v>0.285108991825613</v>
      </c>
      <c r="E27" s="80">
        <v>0.0285108991825613</v>
      </c>
      <c r="F27" s="81">
        <v>0.031433242506812</v>
      </c>
      <c r="G27" s="81">
        <v>0.301907356948229</v>
      </c>
    </row>
    <row r="28" spans="1:7">
      <c r="A28" s="78" t="s">
        <v>194</v>
      </c>
      <c r="B28" s="137">
        <v>37.6</v>
      </c>
      <c r="C28" s="79">
        <f t="shared" si="0"/>
        <v>36.7</v>
      </c>
      <c r="D28" s="80">
        <v>0.302220744680851</v>
      </c>
      <c r="E28" s="80">
        <v>0.0302220744680851</v>
      </c>
      <c r="F28" s="81">
        <v>0.0330744680851064</v>
      </c>
      <c r="G28" s="81">
        <v>0.304255319148936</v>
      </c>
    </row>
    <row r="29" spans="1:7">
      <c r="A29" s="78" t="s">
        <v>195</v>
      </c>
      <c r="B29" s="137">
        <v>38.5</v>
      </c>
      <c r="C29" s="79">
        <f t="shared" si="0"/>
        <v>37.6</v>
      </c>
      <c r="D29" s="80">
        <v>0.318532467532468</v>
      </c>
      <c r="E29" s="80">
        <v>0.0318532467532468</v>
      </c>
      <c r="F29" s="81">
        <v>0.0346389610389611</v>
      </c>
      <c r="G29" s="81">
        <v>0.306493506493506</v>
      </c>
    </row>
    <row r="30" spans="1:7">
      <c r="A30" s="78" t="s">
        <v>196</v>
      </c>
      <c r="B30" s="137">
        <v>39.6</v>
      </c>
      <c r="C30" s="79">
        <f t="shared" si="0"/>
        <v>38.5</v>
      </c>
      <c r="D30" s="80">
        <v>0.337462121212121</v>
      </c>
      <c r="E30" s="80">
        <v>0.0337462121212121</v>
      </c>
      <c r="F30" s="81">
        <v>0.0364545454545455</v>
      </c>
      <c r="G30" s="81">
        <v>0.309090909090909</v>
      </c>
    </row>
    <row r="31" spans="1:7">
      <c r="A31" s="78" t="s">
        <v>197</v>
      </c>
      <c r="B31" s="137">
        <v>40.7</v>
      </c>
      <c r="C31" s="79">
        <f t="shared" si="0"/>
        <v>39.6</v>
      </c>
      <c r="D31" s="80">
        <v>0.35536855036855</v>
      </c>
      <c r="E31" s="80">
        <v>0.035536855036855</v>
      </c>
      <c r="F31" s="81">
        <v>0.0381719901719902</v>
      </c>
      <c r="G31" s="81">
        <v>0.311547911547912</v>
      </c>
    </row>
    <row r="32" spans="1:7">
      <c r="A32" s="78" t="s">
        <v>198</v>
      </c>
      <c r="B32" s="137">
        <v>41.8</v>
      </c>
      <c r="C32" s="79">
        <f t="shared" si="0"/>
        <v>40.7</v>
      </c>
      <c r="D32" s="80">
        <v>0.372332535885167</v>
      </c>
      <c r="E32" s="80">
        <v>0.0372332535885167</v>
      </c>
      <c r="F32" s="81">
        <v>0.039799043062201</v>
      </c>
      <c r="G32" s="81">
        <v>0.313875598086124</v>
      </c>
    </row>
    <row r="33" spans="1:7">
      <c r="A33" s="78" t="s">
        <v>199</v>
      </c>
      <c r="B33" s="137">
        <v>42.9</v>
      </c>
      <c r="C33" s="79">
        <f t="shared" si="0"/>
        <v>41.8</v>
      </c>
      <c r="D33" s="80">
        <v>0.388426573426573</v>
      </c>
      <c r="E33" s="80">
        <v>0.0388426573426573</v>
      </c>
      <c r="F33" s="81">
        <v>0.0480559440559441</v>
      </c>
      <c r="G33" s="81">
        <v>0.316083916083916</v>
      </c>
    </row>
    <row r="34" spans="1:7">
      <c r="A34" s="78" t="s">
        <v>200</v>
      </c>
      <c r="B34" s="137">
        <v>44.2</v>
      </c>
      <c r="C34" s="79">
        <f t="shared" si="0"/>
        <v>42.9</v>
      </c>
      <c r="D34" s="80">
        <v>0.406414027149321</v>
      </c>
      <c r="E34" s="80">
        <v>0.0438484162895928</v>
      </c>
      <c r="F34" s="81">
        <v>0.0584072398190046</v>
      </c>
      <c r="G34" s="81">
        <v>0.318552036199095</v>
      </c>
    </row>
    <row r="35" spans="1:7">
      <c r="A35" s="78" t="s">
        <v>201</v>
      </c>
      <c r="B35" s="137">
        <v>45.4</v>
      </c>
      <c r="C35" s="79">
        <f t="shared" si="0"/>
        <v>44.2</v>
      </c>
      <c r="D35" s="80">
        <v>0.422103524229075</v>
      </c>
      <c r="E35" s="80">
        <v>0.0532621145374449</v>
      </c>
      <c r="F35" s="81">
        <v>0.0674361233480177</v>
      </c>
      <c r="G35" s="81">
        <v>0.320704845814978</v>
      </c>
    </row>
    <row r="36" spans="1:7">
      <c r="A36" s="78" t="s">
        <v>202</v>
      </c>
      <c r="B36" s="137">
        <v>46.7</v>
      </c>
      <c r="C36" s="79">
        <f t="shared" si="0"/>
        <v>45.4</v>
      </c>
      <c r="D36" s="80">
        <v>0.438190578158458</v>
      </c>
      <c r="E36" s="80">
        <v>0.062914346895075</v>
      </c>
      <c r="F36" s="81">
        <v>0.076693790149893</v>
      </c>
      <c r="G36" s="81">
        <v>0.322912205567452</v>
      </c>
    </row>
    <row r="37" spans="1:7">
      <c r="A37" s="78" t="s">
        <v>203</v>
      </c>
      <c r="B37" s="137">
        <v>48.2</v>
      </c>
      <c r="C37" s="79">
        <f t="shared" si="0"/>
        <v>46.7</v>
      </c>
      <c r="D37" s="80">
        <v>0.455674273858921</v>
      </c>
      <c r="E37" s="80">
        <v>0.0734045643153527</v>
      </c>
      <c r="F37" s="81">
        <v>0.0867551867219918</v>
      </c>
      <c r="G37" s="81">
        <v>0.325311203319502</v>
      </c>
    </row>
    <row r="38" spans="1:7">
      <c r="A38" s="78" t="s">
        <v>204</v>
      </c>
      <c r="B38" s="137">
        <v>49.8</v>
      </c>
      <c r="C38" s="79">
        <f t="shared" si="0"/>
        <v>48.2</v>
      </c>
      <c r="D38" s="80">
        <v>0.47316265060241</v>
      </c>
      <c r="E38" s="80">
        <v>0.0838975903614458</v>
      </c>
      <c r="F38" s="81">
        <v>0.0968192771084338</v>
      </c>
      <c r="G38" s="81">
        <v>0.327710843373494</v>
      </c>
    </row>
    <row r="39" spans="1:7">
      <c r="A39" s="78" t="s">
        <v>205</v>
      </c>
      <c r="B39" s="137">
        <v>51.4</v>
      </c>
      <c r="C39" s="79">
        <f t="shared" si="0"/>
        <v>49.8</v>
      </c>
      <c r="D39" s="80">
        <v>0.489562256809339</v>
      </c>
      <c r="E39" s="80">
        <v>0.0937373540856031</v>
      </c>
      <c r="F39" s="81">
        <v>0.106256809338521</v>
      </c>
      <c r="G39" s="81">
        <v>0.329961089494163</v>
      </c>
    </row>
    <row r="40" spans="1:7">
      <c r="A40" s="78" t="s">
        <v>206</v>
      </c>
      <c r="B40" s="137">
        <v>53.3</v>
      </c>
      <c r="C40" s="79">
        <f t="shared" si="0"/>
        <v>51.4</v>
      </c>
      <c r="D40" s="80">
        <v>0.507757973733583</v>
      </c>
      <c r="E40" s="80">
        <v>0.10465478424015</v>
      </c>
      <c r="F40" s="81">
        <v>0.116727954971857</v>
      </c>
      <c r="G40" s="81">
        <v>0.332457786116323</v>
      </c>
    </row>
    <row r="41" spans="1:7">
      <c r="A41" s="78" t="s">
        <v>207</v>
      </c>
      <c r="B41" s="137">
        <v>55.1</v>
      </c>
      <c r="C41" s="79">
        <f t="shared" si="0"/>
        <v>53.3</v>
      </c>
      <c r="D41" s="80">
        <v>0.523838475499093</v>
      </c>
      <c r="E41" s="80">
        <v>0.114303085299456</v>
      </c>
      <c r="F41" s="81">
        <v>0.125981851179673</v>
      </c>
      <c r="G41" s="81">
        <v>0.334664246823956</v>
      </c>
    </row>
    <row r="42" spans="1:7">
      <c r="A42" s="78" t="s">
        <v>208</v>
      </c>
      <c r="B42" s="137">
        <v>57</v>
      </c>
      <c r="C42" s="79">
        <f t="shared" si="0"/>
        <v>55.1</v>
      </c>
      <c r="D42" s="80">
        <v>0.53971052631579</v>
      </c>
      <c r="E42" s="80">
        <v>0.123826315789474</v>
      </c>
      <c r="F42" s="81">
        <v>0.135115789473684</v>
      </c>
      <c r="G42" s="81">
        <v>0.336842105263158</v>
      </c>
    </row>
    <row r="43" spans="1:7">
      <c r="A43" s="78" t="s">
        <v>209</v>
      </c>
      <c r="B43" s="137">
        <v>59.1</v>
      </c>
      <c r="C43" s="79">
        <f t="shared" si="0"/>
        <v>57</v>
      </c>
      <c r="D43" s="80">
        <v>0.556065989847716</v>
      </c>
      <c r="E43" s="80">
        <v>0.133639593908629</v>
      </c>
      <c r="F43" s="81">
        <v>0.144527918781726</v>
      </c>
      <c r="G43" s="81">
        <v>0.339086294416244</v>
      </c>
    </row>
    <row r="44" spans="1:7">
      <c r="A44" s="78" t="s">
        <v>210</v>
      </c>
      <c r="B44" s="137">
        <v>61.4</v>
      </c>
      <c r="C44" s="79">
        <f t="shared" si="0"/>
        <v>59.1</v>
      </c>
      <c r="D44" s="80">
        <v>0.572695439739414</v>
      </c>
      <c r="E44" s="80">
        <v>0.143617263843648</v>
      </c>
      <c r="F44" s="81">
        <v>0.154097719869707</v>
      </c>
      <c r="G44" s="81">
        <v>0.341368078175896</v>
      </c>
    </row>
    <row r="45" spans="1:7">
      <c r="A45" s="78" t="s">
        <v>211</v>
      </c>
      <c r="B45" s="137">
        <v>64.1</v>
      </c>
      <c r="C45" s="79">
        <f t="shared" si="0"/>
        <v>61.4</v>
      </c>
      <c r="D45" s="80">
        <v>0.590694227769111</v>
      </c>
      <c r="E45" s="80">
        <v>0.154416536661466</v>
      </c>
      <c r="F45" s="81">
        <v>0.164455538221529</v>
      </c>
      <c r="G45" s="81">
        <v>0.34383775351014</v>
      </c>
    </row>
    <row r="46" spans="1:7">
      <c r="A46" s="78" t="s">
        <v>212</v>
      </c>
      <c r="B46" s="137">
        <v>67</v>
      </c>
      <c r="C46" s="79">
        <f t="shared" si="0"/>
        <v>64.1</v>
      </c>
      <c r="D46" s="80">
        <v>0.608410447761194</v>
      </c>
      <c r="E46" s="80">
        <v>0.165046268656716</v>
      </c>
      <c r="F46" s="81">
        <v>0.174650746268657</v>
      </c>
      <c r="G46" s="81">
        <v>0.346268656716418</v>
      </c>
    </row>
    <row r="47" spans="1:7">
      <c r="A47" s="78" t="s">
        <v>213</v>
      </c>
      <c r="B47" s="137">
        <v>70.6</v>
      </c>
      <c r="C47" s="79">
        <f t="shared" si="0"/>
        <v>67</v>
      </c>
      <c r="D47" s="80">
        <v>0.628378186968839</v>
      </c>
      <c r="E47" s="80">
        <v>0.177026912181303</v>
      </c>
      <c r="F47" s="81">
        <v>0.18614164305949</v>
      </c>
      <c r="G47" s="81">
        <v>0.349008498583569</v>
      </c>
    </row>
    <row r="48" spans="1:7">
      <c r="A48" s="78" t="s">
        <v>214</v>
      </c>
      <c r="B48" s="137">
        <v>74.4</v>
      </c>
      <c r="C48" s="79">
        <f t="shared" si="0"/>
        <v>70.6</v>
      </c>
      <c r="D48" s="80">
        <v>0.647358870967742</v>
      </c>
      <c r="E48" s="80">
        <v>0.188415322580645</v>
      </c>
      <c r="F48" s="81">
        <v>0.197064516129032</v>
      </c>
      <c r="G48" s="81">
        <v>0.351612903225806</v>
      </c>
    </row>
    <row r="49" spans="1:7">
      <c r="A49" s="78" t="s">
        <v>215</v>
      </c>
      <c r="B49" s="137">
        <v>79.5</v>
      </c>
      <c r="C49" s="79">
        <f t="shared" si="0"/>
        <v>74.4</v>
      </c>
      <c r="D49" s="80">
        <v>0.669981132075472</v>
      </c>
      <c r="E49" s="80">
        <v>0.201988679245283</v>
      </c>
      <c r="F49" s="81">
        <v>0.210083018867925</v>
      </c>
      <c r="G49" s="81">
        <v>0.354716981132075</v>
      </c>
    </row>
    <row r="50" spans="1:7">
      <c r="A50" s="78" t="s">
        <v>216</v>
      </c>
      <c r="B50" s="137">
        <v>86.4</v>
      </c>
      <c r="C50" s="79">
        <f t="shared" si="0"/>
        <v>79.5</v>
      </c>
      <c r="D50" s="80">
        <v>0.696336805555556</v>
      </c>
      <c r="E50" s="80">
        <v>0.217802083333333</v>
      </c>
      <c r="F50" s="81">
        <v>0.22525</v>
      </c>
      <c r="G50" s="81">
        <v>0.358333333333333</v>
      </c>
    </row>
    <row r="51" spans="1:7">
      <c r="A51" s="78" t="s">
        <v>217</v>
      </c>
      <c r="B51" s="137">
        <v>95.4</v>
      </c>
      <c r="C51" s="79">
        <f t="shared" si="0"/>
        <v>86.4</v>
      </c>
      <c r="D51" s="80">
        <v>0.72498427672956</v>
      </c>
      <c r="E51" s="80">
        <v>0.234990566037736</v>
      </c>
      <c r="F51" s="81">
        <v>0.241735849056604</v>
      </c>
      <c r="G51" s="81">
        <v>0.362264150943396</v>
      </c>
    </row>
    <row r="52" spans="1:7">
      <c r="A52" s="78" t="s">
        <v>218</v>
      </c>
      <c r="B52" s="137">
        <v>111.9</v>
      </c>
      <c r="C52" s="79">
        <f t="shared" si="0"/>
        <v>95.4</v>
      </c>
      <c r="D52" s="80">
        <v>0.765536193029491</v>
      </c>
      <c r="E52" s="80">
        <v>0.259321715817694</v>
      </c>
      <c r="F52" s="81">
        <v>0.265072386058981</v>
      </c>
      <c r="G52" s="81">
        <v>0.367828418230563</v>
      </c>
    </row>
    <row r="53" spans="1:7">
      <c r="A53" s="78" t="s">
        <v>219</v>
      </c>
      <c r="B53" s="137">
        <v>143.1</v>
      </c>
      <c r="C53" s="79">
        <f t="shared" si="0"/>
        <v>111.9</v>
      </c>
      <c r="D53" s="80">
        <v>0.816656184486373</v>
      </c>
      <c r="E53" s="80">
        <v>0.289993710691824</v>
      </c>
      <c r="F53" s="81">
        <v>0.294490566037736</v>
      </c>
      <c r="G53" s="81">
        <v>0.374842767295598</v>
      </c>
    </row>
    <row r="54" spans="1:7">
      <c r="A54" s="78" t="s">
        <v>220</v>
      </c>
      <c r="B54" s="137">
        <v>226.9</v>
      </c>
      <c r="C54" s="79">
        <f t="shared" si="0"/>
        <v>143.1</v>
      </c>
      <c r="D54" s="80">
        <v>0.884369766416924</v>
      </c>
      <c r="E54" s="80">
        <v>0.330621859850154</v>
      </c>
      <c r="F54" s="81">
        <v>0.333457910973997</v>
      </c>
      <c r="G54" s="81">
        <v>0.384133979726752</v>
      </c>
    </row>
    <row r="55" spans="1:7">
      <c r="A55" s="78" t="s">
        <v>221</v>
      </c>
      <c r="B55" s="137">
        <v>366</v>
      </c>
      <c r="C55" s="79">
        <f t="shared" si="0"/>
        <v>226.9</v>
      </c>
      <c r="D55" s="80">
        <v>0.928315573770492</v>
      </c>
      <c r="E55" s="80">
        <v>0.356989344262295</v>
      </c>
      <c r="F55" s="81">
        <v>0.358747540983607</v>
      </c>
      <c r="G55" s="81">
        <v>0.39016393442623</v>
      </c>
    </row>
    <row r="56" spans="1:7">
      <c r="A56" s="78" t="s">
        <v>221</v>
      </c>
      <c r="B56" s="82" t="s">
        <v>396</v>
      </c>
      <c r="C56" s="79">
        <f t="shared" si="0"/>
        <v>366</v>
      </c>
      <c r="D56" s="83">
        <v>49.1</v>
      </c>
      <c r="E56" s="83"/>
      <c r="F56" s="84"/>
      <c r="G56" s="84"/>
    </row>
    <row r="57" ht="48" spans="1:10">
      <c r="A57" s="87" t="s">
        <v>224</v>
      </c>
      <c r="C57" s="82"/>
      <c r="D57" s="83"/>
      <c r="E57" s="255">
        <v>43.7275</v>
      </c>
      <c r="F57" s="128">
        <v>41.94</v>
      </c>
      <c r="G57" s="129">
        <v>10</v>
      </c>
      <c r="I57" s="82"/>
      <c r="J57" s="82"/>
    </row>
    <row r="58" ht="84" spans="1:9">
      <c r="A58" s="106" t="s">
        <v>225</v>
      </c>
      <c r="B58" s="83"/>
      <c r="C58" s="82"/>
      <c r="D58" s="83"/>
      <c r="E58" s="255">
        <v>26.2365</v>
      </c>
      <c r="F58" s="84">
        <v>25.164</v>
      </c>
      <c r="G58" s="84">
        <v>6</v>
      </c>
      <c r="I58" s="78"/>
    </row>
    <row r="59" ht="48.75" spans="1:3">
      <c r="A59" s="256" t="s">
        <v>224</v>
      </c>
      <c r="B59">
        <f>J57</f>
        <v>0</v>
      </c>
      <c r="C59" s="82"/>
    </row>
    <row r="60" spans="1:3">
      <c r="A60" s="531" t="s">
        <v>226</v>
      </c>
      <c r="B60" s="95">
        <f>AVERAGE(B11:B50)</f>
        <v>43.7275</v>
      </c>
      <c r="C60" s="78"/>
    </row>
    <row r="61" spans="1:2">
      <c r="A61" s="531" t="s">
        <v>227</v>
      </c>
      <c r="B61" s="96">
        <f>AVERAGE(B16:B45)</f>
        <v>41.94</v>
      </c>
    </row>
    <row r="62" spans="1:2">
      <c r="A62" s="531" t="s">
        <v>228</v>
      </c>
      <c r="B62" s="96">
        <f>AVERAGE(B22:B40)</f>
        <v>41.5263157894737</v>
      </c>
    </row>
    <row r="63" spans="3:3">
      <c r="C63" s="95"/>
    </row>
    <row r="64" spans="1:7">
      <c r="A64" s="78"/>
      <c r="B64" s="82"/>
      <c r="C64" s="96"/>
      <c r="D64" s="83"/>
      <c r="E64" s="85">
        <f>AVERAGE(E6:E55)</f>
        <v>0.0833818929018808</v>
      </c>
      <c r="F64" s="86">
        <f>AVERAGE(F6:F55)</f>
        <v>0.0857726816621469</v>
      </c>
      <c r="G64" s="86"/>
    </row>
    <row r="65" spans="3:3">
      <c r="C65" s="96"/>
    </row>
    <row r="69" customHeight="1" spans="1:7">
      <c r="A69" s="83" t="s">
        <v>165</v>
      </c>
      <c r="B69" s="83" t="s">
        <v>229</v>
      </c>
      <c r="C69" s="83"/>
      <c r="D69" s="83"/>
      <c r="E69" s="98">
        <f>(1-E124)^(1/3)-1</f>
        <v>-0.0245969617296937</v>
      </c>
      <c r="F69" s="98">
        <f>(1-F124)^(1/3)-1</f>
        <v>-0.0255931013727371</v>
      </c>
      <c r="G69" s="98"/>
    </row>
    <row r="70" ht="72" spans="1:7">
      <c r="A70" s="83"/>
      <c r="B70" s="83" t="s">
        <v>167</v>
      </c>
      <c r="C70" s="83"/>
      <c r="D70" s="83" t="s">
        <v>168</v>
      </c>
      <c r="E70" s="83" t="s">
        <v>169</v>
      </c>
      <c r="F70" s="84" t="s">
        <v>169</v>
      </c>
      <c r="G70" s="84"/>
    </row>
    <row r="71" ht="24" spans="1:7">
      <c r="A71" s="83"/>
      <c r="B71" s="83" t="s">
        <v>230</v>
      </c>
      <c r="C71" s="83"/>
      <c r="D71" s="83" t="s">
        <v>171</v>
      </c>
      <c r="E71" s="83" t="s">
        <v>171</v>
      </c>
      <c r="F71" s="84" t="s">
        <v>171</v>
      </c>
      <c r="G71" s="84"/>
    </row>
    <row r="72" spans="1:7">
      <c r="A72" s="75">
        <v>1</v>
      </c>
      <c r="B72" s="76">
        <v>2</v>
      </c>
      <c r="C72" s="76"/>
      <c r="D72" s="76">
        <v>3</v>
      </c>
      <c r="E72" s="76">
        <v>4</v>
      </c>
      <c r="F72" s="77">
        <v>5</v>
      </c>
      <c r="G72" s="77"/>
    </row>
    <row r="73" spans="1:7">
      <c r="A73" s="530" t="s">
        <v>172</v>
      </c>
      <c r="B73" s="138">
        <v>9.9</v>
      </c>
      <c r="C73" s="102">
        <v>0</v>
      </c>
      <c r="D73" s="80">
        <v>0</v>
      </c>
      <c r="E73" s="80">
        <v>0</v>
      </c>
      <c r="F73" s="81">
        <v>0</v>
      </c>
      <c r="G73" s="81">
        <v>0</v>
      </c>
    </row>
    <row r="74" spans="1:7">
      <c r="A74" s="530" t="s">
        <v>173</v>
      </c>
      <c r="B74" s="138">
        <v>17.7</v>
      </c>
      <c r="C74" s="79">
        <f>B73</f>
        <v>9.9</v>
      </c>
      <c r="D74" s="80">
        <v>0</v>
      </c>
      <c r="E74" s="80">
        <v>0</v>
      </c>
      <c r="F74" s="81">
        <v>0</v>
      </c>
      <c r="G74" s="81">
        <v>0</v>
      </c>
    </row>
    <row r="75" spans="1:7">
      <c r="A75" s="530" t="s">
        <v>174</v>
      </c>
      <c r="B75" s="138">
        <v>20.7</v>
      </c>
      <c r="C75" s="79">
        <f t="shared" ref="C75:C123" si="1">B74</f>
        <v>17.7</v>
      </c>
      <c r="D75" s="80">
        <v>0</v>
      </c>
      <c r="E75" s="80">
        <v>0</v>
      </c>
      <c r="F75" s="81">
        <v>0</v>
      </c>
      <c r="G75" s="81">
        <v>0.0127536231884058</v>
      </c>
    </row>
    <row r="76" spans="1:7">
      <c r="A76" s="530" t="s">
        <v>175</v>
      </c>
      <c r="B76" s="138">
        <v>23</v>
      </c>
      <c r="C76" s="79">
        <f t="shared" si="1"/>
        <v>20.7</v>
      </c>
      <c r="D76" s="80">
        <v>0</v>
      </c>
      <c r="E76" s="80">
        <v>0</v>
      </c>
      <c r="F76" s="81">
        <v>0</v>
      </c>
      <c r="G76" s="81">
        <v>0.0214782608695652</v>
      </c>
    </row>
    <row r="77" spans="1:7">
      <c r="A77" s="530" t="s">
        <v>176</v>
      </c>
      <c r="B77" s="138">
        <v>25.9</v>
      </c>
      <c r="C77" s="79">
        <f t="shared" si="1"/>
        <v>23</v>
      </c>
      <c r="D77" s="80">
        <v>0</v>
      </c>
      <c r="E77" s="80">
        <v>0</v>
      </c>
      <c r="F77" s="81">
        <v>0</v>
      </c>
      <c r="G77" s="81">
        <v>0.0302702702702703</v>
      </c>
    </row>
    <row r="78" spans="1:7">
      <c r="A78" s="530" t="s">
        <v>177</v>
      </c>
      <c r="B78" s="138">
        <v>28.1</v>
      </c>
      <c r="C78" s="79">
        <f t="shared" si="1"/>
        <v>25.9</v>
      </c>
      <c r="D78" s="80">
        <v>0</v>
      </c>
      <c r="E78" s="80">
        <v>0</v>
      </c>
      <c r="F78" s="81">
        <v>0</v>
      </c>
      <c r="G78" s="81">
        <v>0.035729537366548</v>
      </c>
    </row>
    <row r="79" spans="1:7">
      <c r="A79" s="530" t="s">
        <v>178</v>
      </c>
      <c r="B79" s="138">
        <v>30</v>
      </c>
      <c r="C79" s="79">
        <f t="shared" si="1"/>
        <v>28.1</v>
      </c>
      <c r="D79" s="80">
        <v>0</v>
      </c>
      <c r="E79" s="80">
        <v>0</v>
      </c>
      <c r="F79" s="81">
        <v>0</v>
      </c>
      <c r="G79" s="81">
        <v>0.0398</v>
      </c>
    </row>
    <row r="80" spans="1:7">
      <c r="A80" s="78" t="s">
        <v>179</v>
      </c>
      <c r="B80" s="138">
        <v>31.7</v>
      </c>
      <c r="C80" s="79">
        <f t="shared" si="1"/>
        <v>30</v>
      </c>
      <c r="D80" s="80">
        <v>0</v>
      </c>
      <c r="E80" s="80">
        <v>0</v>
      </c>
      <c r="F80" s="81">
        <v>0</v>
      </c>
      <c r="G80" s="81">
        <v>0.0581703470031546</v>
      </c>
    </row>
    <row r="81" spans="1:7">
      <c r="A81" s="78" t="s">
        <v>180</v>
      </c>
      <c r="B81" s="138">
        <v>33.2</v>
      </c>
      <c r="C81" s="79">
        <f t="shared" si="1"/>
        <v>31.7</v>
      </c>
      <c r="D81" s="80">
        <v>0</v>
      </c>
      <c r="E81" s="80">
        <v>0</v>
      </c>
      <c r="F81" s="81">
        <v>0</v>
      </c>
      <c r="G81" s="81">
        <v>0.0736144578313253</v>
      </c>
    </row>
    <row r="82" spans="1:7">
      <c r="A82" s="78" t="s">
        <v>181</v>
      </c>
      <c r="B82" s="138">
        <v>34.7</v>
      </c>
      <c r="C82" s="79">
        <f t="shared" si="1"/>
        <v>33.2</v>
      </c>
      <c r="D82" s="80">
        <v>0.0242219020172914</v>
      </c>
      <c r="E82" s="80"/>
      <c r="F82" s="81">
        <v>0.00423054755043231</v>
      </c>
      <c r="G82" s="81">
        <v>0.0877233429394813</v>
      </c>
    </row>
    <row r="83" spans="1:7">
      <c r="A83" s="78" t="s">
        <v>182</v>
      </c>
      <c r="B83" s="138">
        <v>36.2</v>
      </c>
      <c r="C83" s="79">
        <f t="shared" si="1"/>
        <v>34.7</v>
      </c>
      <c r="D83" s="80">
        <v>0.064654696132597</v>
      </c>
      <c r="E83" s="80"/>
      <c r="F83" s="81">
        <v>0.00819889502762434</v>
      </c>
      <c r="G83" s="81">
        <v>0.100662983425414</v>
      </c>
    </row>
    <row r="84" spans="1:7">
      <c r="A84" s="78" t="s">
        <v>183</v>
      </c>
      <c r="B84" s="138">
        <v>37.8</v>
      </c>
      <c r="C84" s="79">
        <f t="shared" si="1"/>
        <v>36.2</v>
      </c>
      <c r="D84" s="80">
        <v>0.104246031746032</v>
      </c>
      <c r="E84" s="80">
        <v>0.0104246031746032</v>
      </c>
      <c r="F84" s="81">
        <v>0.0120846560846561</v>
      </c>
      <c r="G84" s="81">
        <v>0.113333333333333</v>
      </c>
    </row>
    <row r="85" spans="1:7">
      <c r="A85" s="78" t="s">
        <v>184</v>
      </c>
      <c r="B85" s="138">
        <v>39.2</v>
      </c>
      <c r="C85" s="79">
        <f t="shared" si="1"/>
        <v>37.8</v>
      </c>
      <c r="D85" s="80">
        <v>0.136237244897959</v>
      </c>
      <c r="E85" s="80">
        <v>0.013623724489796</v>
      </c>
      <c r="F85" s="81">
        <v>0.0152244897959184</v>
      </c>
      <c r="G85" s="81">
        <v>0.123571428571429</v>
      </c>
    </row>
    <row r="86" spans="1:7">
      <c r="A86" s="78" t="s">
        <v>185</v>
      </c>
      <c r="B86" s="138">
        <v>40.6</v>
      </c>
      <c r="C86" s="79">
        <f t="shared" si="1"/>
        <v>39.2</v>
      </c>
      <c r="D86" s="80">
        <v>0.166022167487685</v>
      </c>
      <c r="E86" s="80">
        <v>0.0166022167487685</v>
      </c>
      <c r="F86" s="81">
        <v>0.0181477832512316</v>
      </c>
      <c r="G86" s="81">
        <v>0.133103448275862</v>
      </c>
    </row>
    <row r="87" spans="1:7">
      <c r="A87" s="78" t="s">
        <v>186</v>
      </c>
      <c r="B87" s="138">
        <v>42</v>
      </c>
      <c r="C87" s="79">
        <f t="shared" si="1"/>
        <v>40.6</v>
      </c>
      <c r="D87" s="80">
        <v>0.193821428571429</v>
      </c>
      <c r="E87" s="80">
        <v>0.0193821428571429</v>
      </c>
      <c r="F87" s="81">
        <v>0.0208761904761905</v>
      </c>
      <c r="G87" s="81">
        <v>0.142</v>
      </c>
    </row>
    <row r="88" spans="1:7">
      <c r="A88" s="78" t="s">
        <v>187</v>
      </c>
      <c r="B88" s="138">
        <v>43.2</v>
      </c>
      <c r="C88" s="79">
        <f t="shared" si="1"/>
        <v>42</v>
      </c>
      <c r="D88" s="80">
        <v>0.216215277777778</v>
      </c>
      <c r="E88" s="80">
        <v>0.0216215277777778</v>
      </c>
      <c r="F88" s="81">
        <v>0.0230740740740741</v>
      </c>
      <c r="G88" s="81">
        <v>0.149166666666667</v>
      </c>
    </row>
    <row r="89" spans="1:7">
      <c r="A89" s="78" t="s">
        <v>188</v>
      </c>
      <c r="B89" s="138">
        <v>44.5</v>
      </c>
      <c r="C89" s="79">
        <f t="shared" si="1"/>
        <v>43.2</v>
      </c>
      <c r="D89" s="80">
        <v>0.239112359550562</v>
      </c>
      <c r="E89" s="80">
        <v>0.0239112359550562</v>
      </c>
      <c r="F89" s="81">
        <v>0.0253213483146068</v>
      </c>
      <c r="G89" s="81">
        <v>0.156494382022472</v>
      </c>
    </row>
    <row r="90" spans="1:7">
      <c r="A90" s="78" t="s">
        <v>189</v>
      </c>
      <c r="B90" s="138">
        <v>45.7</v>
      </c>
      <c r="C90" s="79">
        <f t="shared" si="1"/>
        <v>44.5</v>
      </c>
      <c r="D90" s="80">
        <v>0.259091903719913</v>
      </c>
      <c r="E90" s="80">
        <v>0.0259091903719913</v>
      </c>
      <c r="F90" s="81">
        <v>0.0272822757111598</v>
      </c>
      <c r="G90" s="81">
        <v>0.162888402625821</v>
      </c>
    </row>
    <row r="91" spans="1:7">
      <c r="A91" s="78" t="s">
        <v>190</v>
      </c>
      <c r="B91" s="138">
        <v>46.8</v>
      </c>
      <c r="C91" s="79">
        <f t="shared" si="1"/>
        <v>45.7</v>
      </c>
      <c r="D91" s="80">
        <v>0.27650641025641</v>
      </c>
      <c r="E91" s="80">
        <v>0.027650641025641</v>
      </c>
      <c r="F91" s="81">
        <v>0.028991452991453</v>
      </c>
      <c r="G91" s="81">
        <v>0.168461538461538</v>
      </c>
    </row>
    <row r="92" spans="1:7">
      <c r="A92" s="78" t="s">
        <v>191</v>
      </c>
      <c r="B92" s="138">
        <v>47.9</v>
      </c>
      <c r="C92" s="79">
        <f t="shared" si="1"/>
        <v>46.8</v>
      </c>
      <c r="D92" s="80">
        <v>0.29312108559499</v>
      </c>
      <c r="E92" s="80">
        <v>0.029312108559499</v>
      </c>
      <c r="F92" s="81">
        <v>0.0306221294363257</v>
      </c>
      <c r="G92" s="81">
        <v>0.173778705636743</v>
      </c>
    </row>
    <row r="93" spans="1:7">
      <c r="A93" s="78" t="s">
        <v>192</v>
      </c>
      <c r="B93" s="138">
        <v>49.1</v>
      </c>
      <c r="C93" s="79">
        <f t="shared" si="1"/>
        <v>47.9</v>
      </c>
      <c r="D93" s="80">
        <v>0.310397148676171</v>
      </c>
      <c r="E93" s="80">
        <v>0.0310397148676171</v>
      </c>
      <c r="F93" s="81">
        <v>0.0323177189409369</v>
      </c>
      <c r="G93" s="81">
        <v>0.179307535641548</v>
      </c>
    </row>
    <row r="94" spans="1:7">
      <c r="A94" s="78" t="s">
        <v>193</v>
      </c>
      <c r="B94" s="138">
        <v>50.3</v>
      </c>
      <c r="C94" s="79">
        <f t="shared" si="1"/>
        <v>49.1</v>
      </c>
      <c r="D94" s="80">
        <v>0.326848906560636</v>
      </c>
      <c r="E94" s="80">
        <v>0.0326848906560636</v>
      </c>
      <c r="F94" s="81">
        <v>0.0339324055666004</v>
      </c>
      <c r="G94" s="81">
        <v>0.184572564612326</v>
      </c>
    </row>
    <row r="95" spans="1:7">
      <c r="A95" s="78" t="s">
        <v>194</v>
      </c>
      <c r="B95" s="138">
        <v>51.4</v>
      </c>
      <c r="C95" s="79">
        <f t="shared" si="1"/>
        <v>50.3</v>
      </c>
      <c r="D95" s="80">
        <v>0.34125486381323</v>
      </c>
      <c r="E95" s="80">
        <v>0.034125486381323</v>
      </c>
      <c r="F95" s="81">
        <v>0.0353463035019455</v>
      </c>
      <c r="G95" s="81">
        <v>0.189182879377432</v>
      </c>
    </row>
    <row r="96" spans="1:7">
      <c r="A96" s="78" t="s">
        <v>195</v>
      </c>
      <c r="B96" s="138">
        <v>52.7</v>
      </c>
      <c r="C96" s="79">
        <f t="shared" si="1"/>
        <v>51.4</v>
      </c>
      <c r="D96" s="80">
        <v>0.357504743833017</v>
      </c>
      <c r="E96" s="80">
        <v>0.0357504743833017</v>
      </c>
      <c r="F96" s="81">
        <v>0.0369411764705883</v>
      </c>
      <c r="G96" s="81">
        <v>0.19438330170778</v>
      </c>
    </row>
    <row r="97" spans="1:7">
      <c r="A97" s="78" t="s">
        <v>196</v>
      </c>
      <c r="B97" s="138">
        <v>53.9</v>
      </c>
      <c r="C97" s="79">
        <f t="shared" si="1"/>
        <v>52.7</v>
      </c>
      <c r="D97" s="80">
        <v>0.371808905380334</v>
      </c>
      <c r="E97" s="80">
        <v>0.0371808905380334</v>
      </c>
      <c r="F97" s="81">
        <v>0.0383450834879406</v>
      </c>
      <c r="G97" s="81">
        <v>0.198961038961039</v>
      </c>
    </row>
    <row r="98" spans="1:7">
      <c r="A98" s="78" t="s">
        <v>197</v>
      </c>
      <c r="B98" s="138">
        <v>55</v>
      </c>
      <c r="C98" s="79">
        <f t="shared" si="1"/>
        <v>53.9</v>
      </c>
      <c r="D98" s="80">
        <v>0.384372727272727</v>
      </c>
      <c r="E98" s="80">
        <v>0.0384372727272728</v>
      </c>
      <c r="F98" s="81">
        <v>0.0395781818181818</v>
      </c>
      <c r="G98" s="81">
        <v>0.202981818181818</v>
      </c>
    </row>
    <row r="99" spans="1:7">
      <c r="A99" s="78" t="s">
        <v>198</v>
      </c>
      <c r="B99" s="138">
        <v>56.3</v>
      </c>
      <c r="C99" s="79">
        <f t="shared" si="1"/>
        <v>55</v>
      </c>
      <c r="D99" s="80">
        <v>0.398587921847247</v>
      </c>
      <c r="E99" s="80">
        <v>0.0398587921847247</v>
      </c>
      <c r="F99" s="81">
        <v>0.0458401420959148</v>
      </c>
      <c r="G99" s="81">
        <v>0.20753108348135</v>
      </c>
    </row>
    <row r="100" spans="1:7">
      <c r="A100" s="78" t="s">
        <v>199</v>
      </c>
      <c r="B100" s="138">
        <v>57.6</v>
      </c>
      <c r="C100" s="79">
        <f t="shared" si="1"/>
        <v>56.3</v>
      </c>
      <c r="D100" s="80">
        <v>0.412161458333334</v>
      </c>
      <c r="E100" s="80">
        <v>0.0472968750000001</v>
      </c>
      <c r="F100" s="81">
        <v>0.0538333333333334</v>
      </c>
      <c r="G100" s="81">
        <v>0.211875</v>
      </c>
    </row>
    <row r="101" spans="1:7">
      <c r="A101" s="78" t="s">
        <v>200</v>
      </c>
      <c r="B101" s="138">
        <v>58.9</v>
      </c>
      <c r="C101" s="79">
        <f t="shared" si="1"/>
        <v>57.6</v>
      </c>
      <c r="D101" s="80">
        <v>0.425135823429542</v>
      </c>
      <c r="E101" s="80">
        <v>0.055081494057725</v>
      </c>
      <c r="F101" s="81">
        <v>0.0614736842105264</v>
      </c>
      <c r="G101" s="81">
        <v>0.216027164685908</v>
      </c>
    </row>
    <row r="102" spans="1:7">
      <c r="A102" s="78" t="s">
        <v>201</v>
      </c>
      <c r="B102" s="138">
        <v>60.2</v>
      </c>
      <c r="C102" s="79">
        <f t="shared" si="1"/>
        <v>58.9</v>
      </c>
      <c r="D102" s="80">
        <v>0.437549833887043</v>
      </c>
      <c r="E102" s="80">
        <v>0.062529900332226</v>
      </c>
      <c r="F102" s="81">
        <v>0.0687840531561463</v>
      </c>
      <c r="G102" s="81">
        <v>0.22</v>
      </c>
    </row>
    <row r="103" spans="1:7">
      <c r="A103" s="78" t="s">
        <v>202</v>
      </c>
      <c r="B103" s="138">
        <v>61.6</v>
      </c>
      <c r="C103" s="79">
        <f t="shared" si="1"/>
        <v>60.2</v>
      </c>
      <c r="D103" s="80">
        <v>0.450332792207792</v>
      </c>
      <c r="E103" s="80">
        <v>0.0701996753246754</v>
      </c>
      <c r="F103" s="81">
        <v>0.0763116883116884</v>
      </c>
      <c r="G103" s="81">
        <v>0.224090909090909</v>
      </c>
    </row>
    <row r="104" spans="1:7">
      <c r="A104" s="78" t="s">
        <v>203</v>
      </c>
      <c r="B104" s="138">
        <v>63</v>
      </c>
      <c r="C104" s="79">
        <f t="shared" si="1"/>
        <v>61.6</v>
      </c>
      <c r="D104" s="80">
        <v>0.462547619047619</v>
      </c>
      <c r="E104" s="80">
        <v>0.0775285714285715</v>
      </c>
      <c r="F104" s="81">
        <v>0.083504761904762</v>
      </c>
      <c r="G104" s="81">
        <v>0.228</v>
      </c>
    </row>
    <row r="105" spans="1:7">
      <c r="A105" s="78" t="s">
        <v>204</v>
      </c>
      <c r="B105" s="138">
        <v>64.4</v>
      </c>
      <c r="C105" s="79">
        <f t="shared" si="1"/>
        <v>63</v>
      </c>
      <c r="D105" s="80">
        <v>0.474231366459628</v>
      </c>
      <c r="E105" s="80">
        <v>0.0845388198757765</v>
      </c>
      <c r="F105" s="81">
        <v>0.0903850931677019</v>
      </c>
      <c r="G105" s="81">
        <v>0.231739130434783</v>
      </c>
    </row>
    <row r="106" spans="1:7">
      <c r="A106" s="78" t="s">
        <v>205</v>
      </c>
      <c r="B106" s="138">
        <v>66.1</v>
      </c>
      <c r="C106" s="79">
        <f t="shared" si="1"/>
        <v>64.4</v>
      </c>
      <c r="D106" s="80">
        <v>0.487753403933434</v>
      </c>
      <c r="E106" s="80">
        <v>0.0926520423600605</v>
      </c>
      <c r="F106" s="81">
        <v>0.0983479576399395</v>
      </c>
      <c r="G106" s="81">
        <v>0.23606656580938</v>
      </c>
    </row>
    <row r="107" spans="1:7">
      <c r="A107" s="78" t="s">
        <v>206</v>
      </c>
      <c r="B107" s="138">
        <v>68</v>
      </c>
      <c r="C107" s="79">
        <f t="shared" si="1"/>
        <v>66.1</v>
      </c>
      <c r="D107" s="80">
        <v>0.502066176470588</v>
      </c>
      <c r="E107" s="80">
        <v>0.101239705882353</v>
      </c>
      <c r="F107" s="81">
        <v>0.106776470588235</v>
      </c>
      <c r="G107" s="81">
        <v>0.240647058823529</v>
      </c>
    </row>
    <row r="108" spans="1:7">
      <c r="A108" s="78" t="s">
        <v>207</v>
      </c>
      <c r="B108" s="138">
        <v>69.8</v>
      </c>
      <c r="C108" s="79">
        <f t="shared" si="1"/>
        <v>68</v>
      </c>
      <c r="D108" s="80">
        <v>0.514906876790831</v>
      </c>
      <c r="E108" s="80">
        <v>0.108944126074499</v>
      </c>
      <c r="F108" s="81">
        <v>0.114338108882522</v>
      </c>
      <c r="G108" s="81">
        <v>0.244756446991404</v>
      </c>
    </row>
    <row r="109" spans="1:7">
      <c r="A109" s="78" t="s">
        <v>208</v>
      </c>
      <c r="B109" s="138">
        <v>71.6</v>
      </c>
      <c r="C109" s="79">
        <f t="shared" si="1"/>
        <v>69.8</v>
      </c>
      <c r="D109" s="80">
        <v>0.527101955307263</v>
      </c>
      <c r="E109" s="80">
        <v>0.116261173184358</v>
      </c>
      <c r="F109" s="81">
        <v>0.121519553072626</v>
      </c>
      <c r="G109" s="81">
        <v>0.248659217877095</v>
      </c>
    </row>
    <row r="110" spans="1:7">
      <c r="A110" s="78" t="s">
        <v>209</v>
      </c>
      <c r="B110" s="138">
        <v>73.6</v>
      </c>
      <c r="C110" s="79">
        <f t="shared" si="1"/>
        <v>71.6</v>
      </c>
      <c r="D110" s="80">
        <v>0.539952445652174</v>
      </c>
      <c r="E110" s="80">
        <v>0.123971467391304</v>
      </c>
      <c r="F110" s="81">
        <v>0.129086956521739</v>
      </c>
      <c r="G110" s="81">
        <v>0.252771739130435</v>
      </c>
    </row>
    <row r="111" spans="1:7">
      <c r="A111" s="78" t="s">
        <v>210</v>
      </c>
      <c r="B111" s="138">
        <v>75.8</v>
      </c>
      <c r="C111" s="79">
        <f t="shared" si="1"/>
        <v>73.6</v>
      </c>
      <c r="D111" s="80">
        <v>0.55330474934037</v>
      </c>
      <c r="E111" s="80">
        <v>0.131982849604222</v>
      </c>
      <c r="F111" s="81">
        <v>0.136949868073879</v>
      </c>
      <c r="G111" s="81">
        <v>0.257044854881266</v>
      </c>
    </row>
    <row r="112" spans="1:7">
      <c r="A112" s="78" t="s">
        <v>211</v>
      </c>
      <c r="B112" s="138">
        <v>78.4</v>
      </c>
      <c r="C112" s="79">
        <f t="shared" si="1"/>
        <v>75.8</v>
      </c>
      <c r="D112" s="80">
        <v>0.56811862244898</v>
      </c>
      <c r="E112" s="80">
        <v>0.140871173469388</v>
      </c>
      <c r="F112" s="81">
        <v>0.145673469387755</v>
      </c>
      <c r="G112" s="81">
        <v>0.261785714285714</v>
      </c>
    </row>
    <row r="113" spans="1:7">
      <c r="A113" s="78" t="s">
        <v>212</v>
      </c>
      <c r="B113" s="138">
        <v>81</v>
      </c>
      <c r="C113" s="79">
        <f t="shared" si="1"/>
        <v>78.4</v>
      </c>
      <c r="D113" s="80">
        <v>0.581981481481482</v>
      </c>
      <c r="E113" s="80">
        <v>0.149188888888889</v>
      </c>
      <c r="F113" s="81">
        <v>0.153837037037037</v>
      </c>
      <c r="G113" s="81">
        <v>0.266222222222222</v>
      </c>
    </row>
    <row r="114" spans="1:7">
      <c r="A114" s="78" t="s">
        <v>213</v>
      </c>
      <c r="B114" s="138">
        <v>83.8</v>
      </c>
      <c r="C114" s="79">
        <f t="shared" si="1"/>
        <v>81</v>
      </c>
      <c r="D114" s="80">
        <v>0.595948687350835</v>
      </c>
      <c r="E114" s="80">
        <v>0.157569212410501</v>
      </c>
      <c r="F114" s="81">
        <v>0.162062052505967</v>
      </c>
      <c r="G114" s="81">
        <v>0.270692124105012</v>
      </c>
    </row>
    <row r="115" spans="1:7">
      <c r="A115" s="78" t="s">
        <v>214</v>
      </c>
      <c r="B115" s="138">
        <v>87.3</v>
      </c>
      <c r="C115" s="79">
        <f t="shared" si="1"/>
        <v>83.8</v>
      </c>
      <c r="D115" s="80">
        <v>0.612147766323024</v>
      </c>
      <c r="E115" s="80">
        <v>0.167288659793814</v>
      </c>
      <c r="F115" s="81">
        <v>0.171601374570447</v>
      </c>
      <c r="G115" s="81">
        <v>0.275876288659794</v>
      </c>
    </row>
    <row r="116" spans="1:7">
      <c r="A116" s="78" t="s">
        <v>215</v>
      </c>
      <c r="B116" s="138">
        <v>91.1</v>
      </c>
      <c r="C116" s="79">
        <f t="shared" si="1"/>
        <v>87.3</v>
      </c>
      <c r="D116" s="80">
        <v>0.628326015367728</v>
      </c>
      <c r="E116" s="80">
        <v>0.176995609220637</v>
      </c>
      <c r="F116" s="81">
        <v>0.181128430296378</v>
      </c>
      <c r="G116" s="81">
        <v>0.281053787047201</v>
      </c>
    </row>
    <row r="117" spans="1:7">
      <c r="A117" s="78" t="s">
        <v>216</v>
      </c>
      <c r="B117" s="138">
        <v>94.8</v>
      </c>
      <c r="C117" s="79">
        <f t="shared" si="1"/>
        <v>91.1</v>
      </c>
      <c r="D117" s="80">
        <v>0.642832278481013</v>
      </c>
      <c r="E117" s="80">
        <v>0.185699367088608</v>
      </c>
      <c r="F117" s="81">
        <v>0.189670886075949</v>
      </c>
      <c r="G117" s="81">
        <v>0.285696202531646</v>
      </c>
    </row>
    <row r="118" spans="1:7">
      <c r="A118" s="78" t="s">
        <v>217</v>
      </c>
      <c r="B118" s="138">
        <v>100.1</v>
      </c>
      <c r="C118" s="79">
        <f t="shared" si="1"/>
        <v>94.8</v>
      </c>
      <c r="D118" s="80">
        <v>0.661743256743257</v>
      </c>
      <c r="E118" s="80">
        <v>0.197045954045954</v>
      </c>
      <c r="F118" s="81">
        <v>0.200807192807193</v>
      </c>
      <c r="G118" s="81">
        <v>0.291748251748252</v>
      </c>
    </row>
    <row r="119" spans="1:7">
      <c r="A119" s="78" t="s">
        <v>218</v>
      </c>
      <c r="B119" s="138">
        <v>105.3</v>
      </c>
      <c r="C119" s="79">
        <f t="shared" si="1"/>
        <v>100.1</v>
      </c>
      <c r="D119" s="80">
        <v>0.678447293447294</v>
      </c>
      <c r="E119" s="80">
        <v>0.207068376068376</v>
      </c>
      <c r="F119" s="81">
        <v>0.210643874643875</v>
      </c>
      <c r="G119" s="81">
        <v>0.297094017094017</v>
      </c>
    </row>
    <row r="120" spans="1:7">
      <c r="A120" s="78" t="s">
        <v>219</v>
      </c>
      <c r="B120" s="138">
        <v>111.5</v>
      </c>
      <c r="C120" s="79">
        <f t="shared" si="1"/>
        <v>105.3</v>
      </c>
      <c r="D120" s="80">
        <v>0.69632735426009</v>
      </c>
      <c r="E120" s="80">
        <v>0.217796412556054</v>
      </c>
      <c r="F120" s="81">
        <v>0.221173094170404</v>
      </c>
      <c r="G120" s="81">
        <v>0.302816143497758</v>
      </c>
    </row>
    <row r="121" spans="1:7">
      <c r="A121" s="78" t="s">
        <v>220</v>
      </c>
      <c r="B121" s="138">
        <v>121.4</v>
      </c>
      <c r="C121" s="79">
        <f t="shared" si="1"/>
        <v>111.5</v>
      </c>
      <c r="D121" s="80">
        <v>0.721091433278419</v>
      </c>
      <c r="E121" s="80">
        <v>0.232654859967051</v>
      </c>
      <c r="F121" s="81">
        <v>0.235756177924218</v>
      </c>
      <c r="G121" s="81">
        <v>0.310741350906096</v>
      </c>
    </row>
    <row r="122" spans="1:7">
      <c r="A122" s="78" t="s">
        <v>221</v>
      </c>
      <c r="B122" s="138">
        <v>134.3</v>
      </c>
      <c r="C122" s="79">
        <f t="shared" si="1"/>
        <v>121.4</v>
      </c>
      <c r="D122" s="80">
        <v>0.747881608339538</v>
      </c>
      <c r="E122" s="80">
        <v>0.248728965003723</v>
      </c>
      <c r="F122" s="81">
        <v>0.251532390171258</v>
      </c>
      <c r="G122" s="81">
        <v>0.319314966492926</v>
      </c>
    </row>
    <row r="123" spans="1:7">
      <c r="A123" s="78" t="s">
        <v>221</v>
      </c>
      <c r="B123" s="78" t="s">
        <v>397</v>
      </c>
      <c r="C123" s="79">
        <f t="shared" si="1"/>
        <v>134.3</v>
      </c>
      <c r="D123" s="83" t="s">
        <v>232</v>
      </c>
      <c r="E123" s="83"/>
      <c r="F123" s="84"/>
      <c r="G123" s="84"/>
    </row>
    <row r="124" spans="1:7">
      <c r="A124" s="78"/>
      <c r="B124" s="78"/>
      <c r="C124" s="78"/>
      <c r="D124" s="83"/>
      <c r="E124" s="85">
        <v>0.0719907350308473</v>
      </c>
      <c r="F124" s="86">
        <v>0.0748310472609872</v>
      </c>
      <c r="G124" s="86">
        <v>0.182292802135333</v>
      </c>
    </row>
    <row r="125" ht="48" spans="1:7">
      <c r="A125" s="87" t="s">
        <v>233</v>
      </c>
      <c r="B125" s="78">
        <v>30.1</v>
      </c>
      <c r="C125" s="78"/>
      <c r="D125" s="83"/>
      <c r="E125" s="127">
        <v>56.4325</v>
      </c>
      <c r="F125" s="128">
        <v>55.3866666666667</v>
      </c>
      <c r="G125" s="129">
        <v>30.1</v>
      </c>
    </row>
    <row r="126" ht="48" spans="1:7">
      <c r="A126" s="87" t="s">
        <v>224</v>
      </c>
      <c r="B126" s="78">
        <v>59.2</v>
      </c>
      <c r="C126" s="78"/>
      <c r="D126" s="83"/>
      <c r="E126" s="83"/>
      <c r="F126" s="84"/>
      <c r="G126" s="84"/>
    </row>
    <row r="127" ht="84" spans="1:7">
      <c r="A127" s="106" t="s">
        <v>225</v>
      </c>
      <c r="B127" s="78">
        <v>12</v>
      </c>
      <c r="C127" s="78"/>
      <c r="D127" s="83"/>
      <c r="E127" s="83">
        <v>33.8595</v>
      </c>
      <c r="F127" s="84">
        <v>33.232</v>
      </c>
      <c r="G127" s="84">
        <v>18.06</v>
      </c>
    </row>
    <row r="129" ht="48.75" spans="1:2">
      <c r="A129" s="256" t="s">
        <v>224</v>
      </c>
      <c r="B129">
        <f>B126</f>
        <v>59.2</v>
      </c>
    </row>
    <row r="130" spans="1:3">
      <c r="A130" s="531" t="s">
        <v>226</v>
      </c>
      <c r="B130" s="95">
        <f>AVERAGE(B78:B117)</f>
        <v>56.4325</v>
      </c>
      <c r="C130" s="95"/>
    </row>
    <row r="131" spans="1:3">
      <c r="A131" s="531" t="s">
        <v>227</v>
      </c>
      <c r="B131" s="96">
        <f>AVERAGE(B83:B112)</f>
        <v>55.3866666666667</v>
      </c>
      <c r="C131" s="96"/>
    </row>
    <row r="132" spans="1:3">
      <c r="A132" s="531" t="s">
        <v>228</v>
      </c>
      <c r="B132" s="96">
        <f>AVERAGE(B89:B107)</f>
        <v>55.4421052631579</v>
      </c>
      <c r="C132" s="96"/>
    </row>
    <row r="133" ht="15.75"/>
    <row r="134" ht="15.75" spans="1:7">
      <c r="A134" s="252" t="s">
        <v>165</v>
      </c>
      <c r="B134" s="67" t="s">
        <v>347</v>
      </c>
      <c r="C134" s="68"/>
      <c r="D134" s="69"/>
      <c r="E134" s="70">
        <f>(1-E189)^(1/3)-1</f>
        <v>-0.0294040212549088</v>
      </c>
      <c r="F134" s="70">
        <f>(1-F189)^(1/3)-1</f>
        <v>-0.0317932284898392</v>
      </c>
      <c r="G134" s="70"/>
    </row>
    <row r="135" ht="72.75" spans="1:7">
      <c r="A135" s="253"/>
      <c r="B135" s="72" t="s">
        <v>167</v>
      </c>
      <c r="C135" s="107"/>
      <c r="D135" s="83" t="s">
        <v>168</v>
      </c>
      <c r="E135" s="83" t="s">
        <v>169</v>
      </c>
      <c r="F135" s="84" t="s">
        <v>169</v>
      </c>
      <c r="G135" s="84"/>
    </row>
    <row r="136" ht="24.75" spans="1:7">
      <c r="A136" s="254"/>
      <c r="B136" s="72" t="s">
        <v>235</v>
      </c>
      <c r="C136" s="107"/>
      <c r="D136" s="83" t="s">
        <v>171</v>
      </c>
      <c r="E136" s="83" t="s">
        <v>171</v>
      </c>
      <c r="F136" s="84" t="s">
        <v>171</v>
      </c>
      <c r="G136" s="84"/>
    </row>
    <row r="137" spans="1:7">
      <c r="A137" s="75">
        <v>1</v>
      </c>
      <c r="B137" s="76">
        <v>2</v>
      </c>
      <c r="C137" s="76"/>
      <c r="D137" s="76">
        <v>3</v>
      </c>
      <c r="E137" s="76">
        <v>4</v>
      </c>
      <c r="F137" s="77">
        <v>5</v>
      </c>
      <c r="G137" s="77"/>
    </row>
    <row r="138" ht="15.75" spans="1:7">
      <c r="A138" s="533" t="s">
        <v>172</v>
      </c>
      <c r="B138" s="258">
        <v>0.04</v>
      </c>
      <c r="C138" s="112">
        <v>0</v>
      </c>
      <c r="D138" s="80">
        <v>0</v>
      </c>
      <c r="E138" s="80">
        <v>0</v>
      </c>
      <c r="F138" s="81">
        <v>0</v>
      </c>
      <c r="G138" s="81">
        <v>0</v>
      </c>
    </row>
    <row r="139" ht="15.75" spans="1:7">
      <c r="A139" s="533" t="s">
        <v>173</v>
      </c>
      <c r="B139" s="258">
        <v>0.24</v>
      </c>
      <c r="C139" s="79">
        <f>B138</f>
        <v>0.04</v>
      </c>
      <c r="D139" s="80">
        <v>0</v>
      </c>
      <c r="E139" s="80">
        <v>0</v>
      </c>
      <c r="F139" s="81">
        <v>0</v>
      </c>
      <c r="G139" s="81">
        <v>0</v>
      </c>
    </row>
    <row r="140" ht="15.75" spans="1:7">
      <c r="A140" s="533" t="s">
        <v>174</v>
      </c>
      <c r="B140" s="258">
        <v>0.47</v>
      </c>
      <c r="C140" s="79">
        <f t="shared" ref="C140:C188" si="2">B139</f>
        <v>0.24</v>
      </c>
      <c r="D140" s="80">
        <v>0</v>
      </c>
      <c r="E140" s="80">
        <v>0</v>
      </c>
      <c r="F140" s="81">
        <v>0</v>
      </c>
      <c r="G140" s="81">
        <v>0</v>
      </c>
    </row>
    <row r="141" ht="15.75" spans="1:7">
      <c r="A141" s="533" t="s">
        <v>175</v>
      </c>
      <c r="B141" s="258">
        <v>0.8</v>
      </c>
      <c r="C141" s="79">
        <f t="shared" si="2"/>
        <v>0.47</v>
      </c>
      <c r="D141" s="80">
        <v>0</v>
      </c>
      <c r="E141" s="80">
        <v>0</v>
      </c>
      <c r="F141" s="81">
        <v>0</v>
      </c>
      <c r="G141" s="81">
        <v>0</v>
      </c>
    </row>
    <row r="142" ht="15.75" spans="1:7">
      <c r="A142" s="533" t="s">
        <v>176</v>
      </c>
      <c r="B142" s="258">
        <v>1.1</v>
      </c>
      <c r="C142" s="79">
        <f t="shared" si="2"/>
        <v>0.8</v>
      </c>
      <c r="D142" s="80">
        <v>0</v>
      </c>
      <c r="E142" s="80">
        <v>0</v>
      </c>
      <c r="F142" s="81">
        <v>0</v>
      </c>
      <c r="G142" s="81">
        <v>0</v>
      </c>
    </row>
    <row r="143" ht="15.75" spans="1:7">
      <c r="A143" s="533" t="s">
        <v>177</v>
      </c>
      <c r="B143" s="258">
        <v>1.3</v>
      </c>
      <c r="C143" s="79">
        <f t="shared" si="2"/>
        <v>1.1</v>
      </c>
      <c r="D143" s="80">
        <v>0</v>
      </c>
      <c r="E143" s="80">
        <v>0</v>
      </c>
      <c r="F143" s="81">
        <v>0</v>
      </c>
      <c r="G143" s="81">
        <v>0</v>
      </c>
    </row>
    <row r="144" ht="15.75" spans="1:7">
      <c r="A144" s="533" t="s">
        <v>178</v>
      </c>
      <c r="B144" s="258">
        <v>1.5</v>
      </c>
      <c r="C144" s="79">
        <f t="shared" si="2"/>
        <v>1.3</v>
      </c>
      <c r="D144" s="80">
        <v>0</v>
      </c>
      <c r="E144" s="80">
        <v>0</v>
      </c>
      <c r="F144" s="81">
        <v>0</v>
      </c>
      <c r="G144" s="81">
        <v>0</v>
      </c>
    </row>
    <row r="145" ht="15.75" spans="1:7">
      <c r="A145" s="257" t="s">
        <v>179</v>
      </c>
      <c r="B145" s="258">
        <v>1.7</v>
      </c>
      <c r="C145" s="79">
        <f t="shared" si="2"/>
        <v>1.5</v>
      </c>
      <c r="D145" s="80">
        <v>0</v>
      </c>
      <c r="E145" s="80">
        <v>0</v>
      </c>
      <c r="F145" s="81">
        <v>0</v>
      </c>
      <c r="G145" s="81">
        <v>0</v>
      </c>
    </row>
    <row r="146" ht="15.75" spans="1:7">
      <c r="A146" s="257" t="s">
        <v>180</v>
      </c>
      <c r="B146" s="258">
        <v>1.9</v>
      </c>
      <c r="C146" s="79">
        <f t="shared" si="2"/>
        <v>1.7</v>
      </c>
      <c r="D146" s="80">
        <v>0</v>
      </c>
      <c r="E146" s="80">
        <v>0</v>
      </c>
      <c r="F146" s="81">
        <v>0</v>
      </c>
      <c r="G146" s="81">
        <v>0</v>
      </c>
    </row>
    <row r="147" ht="15.75" spans="1:7">
      <c r="A147" s="257" t="s">
        <v>181</v>
      </c>
      <c r="B147" s="258">
        <v>2.1</v>
      </c>
      <c r="C147" s="79">
        <f t="shared" si="2"/>
        <v>1.9</v>
      </c>
      <c r="D147" s="80">
        <v>0</v>
      </c>
      <c r="E147" s="80">
        <v>0</v>
      </c>
      <c r="F147" s="81">
        <v>0</v>
      </c>
      <c r="G147" s="81">
        <v>0</v>
      </c>
    </row>
    <row r="148" ht="15.75" spans="1:7">
      <c r="A148" s="257" t="s">
        <v>182</v>
      </c>
      <c r="B148" s="258">
        <v>2.3</v>
      </c>
      <c r="C148" s="79">
        <f t="shared" si="2"/>
        <v>2.1</v>
      </c>
      <c r="D148" s="80">
        <v>0</v>
      </c>
      <c r="E148" s="80">
        <v>0</v>
      </c>
      <c r="F148" s="81">
        <v>0</v>
      </c>
      <c r="G148" s="81">
        <v>0</v>
      </c>
    </row>
    <row r="149" ht="15.75" spans="1:7">
      <c r="A149" s="257" t="s">
        <v>183</v>
      </c>
      <c r="B149" s="258">
        <v>2.4</v>
      </c>
      <c r="C149" s="79">
        <f t="shared" si="2"/>
        <v>2.3</v>
      </c>
      <c r="D149" s="80">
        <v>0</v>
      </c>
      <c r="E149" s="80">
        <v>0</v>
      </c>
      <c r="F149" s="81">
        <v>0</v>
      </c>
      <c r="G149" s="81">
        <v>0</v>
      </c>
    </row>
    <row r="150" ht="15.75" spans="1:7">
      <c r="A150" s="257" t="s">
        <v>184</v>
      </c>
      <c r="B150" s="258">
        <v>2.6</v>
      </c>
      <c r="C150" s="79">
        <f t="shared" si="2"/>
        <v>2.4</v>
      </c>
      <c r="D150" s="80">
        <v>0</v>
      </c>
      <c r="E150" s="80">
        <v>0</v>
      </c>
      <c r="F150" s="81">
        <v>0.00253846153846157</v>
      </c>
      <c r="G150" s="81">
        <v>0</v>
      </c>
    </row>
    <row r="151" ht="15.75" spans="1:7">
      <c r="A151" s="257" t="s">
        <v>185</v>
      </c>
      <c r="B151" s="258">
        <v>2.7</v>
      </c>
      <c r="C151" s="79">
        <f t="shared" si="2"/>
        <v>2.6</v>
      </c>
      <c r="D151" s="80">
        <v>0.0072222222222225</v>
      </c>
      <c r="E151" s="80"/>
      <c r="F151" s="81">
        <v>0.00614814814814818</v>
      </c>
      <c r="G151" s="81">
        <v>0</v>
      </c>
    </row>
    <row r="152" ht="15.75" spans="1:7">
      <c r="A152" s="257" t="s">
        <v>186</v>
      </c>
      <c r="B152" s="258">
        <v>2.8</v>
      </c>
      <c r="C152" s="79">
        <f t="shared" si="2"/>
        <v>2.7</v>
      </c>
      <c r="D152" s="80">
        <v>0.0426785714285716</v>
      </c>
      <c r="E152" s="80"/>
      <c r="F152" s="81">
        <v>0.00950000000000002</v>
      </c>
      <c r="G152" s="81">
        <v>0</v>
      </c>
    </row>
    <row r="153" ht="15.75" spans="1:7">
      <c r="A153" s="257" t="s">
        <v>187</v>
      </c>
      <c r="B153" s="258">
        <v>2.9</v>
      </c>
      <c r="C153" s="79">
        <f t="shared" si="2"/>
        <v>2.8</v>
      </c>
      <c r="D153" s="80">
        <v>0.075689655172414</v>
      </c>
      <c r="E153" s="80"/>
      <c r="F153" s="81">
        <v>0.0126206896551724</v>
      </c>
      <c r="G153" s="81">
        <v>0</v>
      </c>
    </row>
    <row r="154" ht="15.75" spans="1:7">
      <c r="A154" s="257" t="s">
        <v>188</v>
      </c>
      <c r="B154" s="258">
        <v>3.1</v>
      </c>
      <c r="C154" s="79">
        <f t="shared" si="2"/>
        <v>2.9</v>
      </c>
      <c r="D154" s="80">
        <v>0.135322580645162</v>
      </c>
      <c r="E154" s="80">
        <v>0.0135322580645162</v>
      </c>
      <c r="F154" s="81">
        <v>0.0182580645161291</v>
      </c>
      <c r="G154" s="81">
        <v>0</v>
      </c>
    </row>
    <row r="155" ht="15.75" spans="1:7">
      <c r="A155" s="257" t="s">
        <v>189</v>
      </c>
      <c r="B155" s="258">
        <v>3.2</v>
      </c>
      <c r="C155" s="79">
        <f t="shared" si="2"/>
        <v>3.1</v>
      </c>
      <c r="D155" s="80">
        <v>0.16234375</v>
      </c>
      <c r="E155" s="80">
        <v>0.016234375</v>
      </c>
      <c r="F155" s="81">
        <v>0.0208125</v>
      </c>
      <c r="G155" s="81">
        <v>0</v>
      </c>
    </row>
    <row r="156" ht="15.75" spans="1:7">
      <c r="A156" s="257" t="s">
        <v>190</v>
      </c>
      <c r="B156" s="258">
        <v>3.3</v>
      </c>
      <c r="C156" s="79">
        <f t="shared" si="2"/>
        <v>3.2</v>
      </c>
      <c r="D156" s="80">
        <v>0.187727272727273</v>
      </c>
      <c r="E156" s="80">
        <v>0.0187727272727273</v>
      </c>
      <c r="F156" s="81">
        <v>0.0232121212121212</v>
      </c>
      <c r="G156" s="81">
        <v>0</v>
      </c>
    </row>
    <row r="157" ht="15.75" spans="1:7">
      <c r="A157" s="257" t="s">
        <v>191</v>
      </c>
      <c r="B157" s="258">
        <v>3.4</v>
      </c>
      <c r="C157" s="79">
        <f t="shared" si="2"/>
        <v>3.3</v>
      </c>
      <c r="D157" s="80">
        <v>0.211617647058824</v>
      </c>
      <c r="E157" s="80">
        <v>0.0211617647058824</v>
      </c>
      <c r="F157" s="81">
        <v>0.0254705882352941</v>
      </c>
      <c r="G157" s="81">
        <v>0</v>
      </c>
    </row>
    <row r="158" ht="15.75" spans="1:7">
      <c r="A158" s="257" t="s">
        <v>192</v>
      </c>
      <c r="B158" s="258">
        <v>3.5</v>
      </c>
      <c r="C158" s="79">
        <f t="shared" si="2"/>
        <v>3.4</v>
      </c>
      <c r="D158" s="80">
        <v>0.234142857142857</v>
      </c>
      <c r="E158" s="80">
        <v>0.0234142857142857</v>
      </c>
      <c r="F158" s="81">
        <v>0.0276</v>
      </c>
      <c r="G158" s="81">
        <v>0</v>
      </c>
    </row>
    <row r="159" ht="15.75" spans="1:7">
      <c r="A159" s="257" t="s">
        <v>193</v>
      </c>
      <c r="B159" s="258">
        <v>3.6</v>
      </c>
      <c r="C159" s="79">
        <f t="shared" si="2"/>
        <v>3.5</v>
      </c>
      <c r="D159" s="80">
        <v>0.255416666666667</v>
      </c>
      <c r="E159" s="80">
        <v>0.0255416666666667</v>
      </c>
      <c r="F159" s="81">
        <v>0.0296111111111111</v>
      </c>
      <c r="G159" s="81">
        <v>0</v>
      </c>
    </row>
    <row r="160" ht="15.75" spans="1:7">
      <c r="A160" s="257" t="s">
        <v>194</v>
      </c>
      <c r="B160" s="258">
        <v>3.7</v>
      </c>
      <c r="C160" s="79">
        <f t="shared" si="2"/>
        <v>3.6</v>
      </c>
      <c r="D160" s="80">
        <v>0.275540540540541</v>
      </c>
      <c r="E160" s="80">
        <v>0.0275540540540541</v>
      </c>
      <c r="F160" s="81">
        <v>0.0315135135135135</v>
      </c>
      <c r="G160" s="81">
        <v>0</v>
      </c>
    </row>
    <row r="161" ht="15.75" spans="1:7">
      <c r="A161" s="257" t="s">
        <v>195</v>
      </c>
      <c r="B161" s="258">
        <v>3.8</v>
      </c>
      <c r="C161" s="79">
        <f t="shared" si="2"/>
        <v>3.7</v>
      </c>
      <c r="D161" s="80">
        <v>0.294605263157895</v>
      </c>
      <c r="E161" s="80">
        <v>0.0294605263157895</v>
      </c>
      <c r="F161" s="81">
        <v>0.0333157894736842</v>
      </c>
      <c r="G161" s="81">
        <v>0</v>
      </c>
    </row>
    <row r="162" ht="15.75" spans="1:7">
      <c r="A162" s="257" t="s">
        <v>196</v>
      </c>
      <c r="B162" s="258">
        <v>3.9</v>
      </c>
      <c r="C162" s="79">
        <f t="shared" si="2"/>
        <v>3.8</v>
      </c>
      <c r="D162" s="80">
        <v>0.312692307692308</v>
      </c>
      <c r="E162" s="80">
        <v>0.0312692307692308</v>
      </c>
      <c r="F162" s="81">
        <v>0.035025641025641</v>
      </c>
      <c r="G162" s="81">
        <v>0</v>
      </c>
    </row>
    <row r="163" ht="15.75" spans="1:7">
      <c r="A163" s="257" t="s">
        <v>197</v>
      </c>
      <c r="B163" s="258">
        <v>4.1</v>
      </c>
      <c r="C163" s="79">
        <f t="shared" si="2"/>
        <v>3.9</v>
      </c>
      <c r="D163" s="80">
        <v>0.346219512195122</v>
      </c>
      <c r="E163" s="80">
        <v>0.0346219512195122</v>
      </c>
      <c r="F163" s="81">
        <v>0.0381951219512195</v>
      </c>
      <c r="G163" s="81">
        <v>0</v>
      </c>
    </row>
    <row r="164" ht="15.75" spans="1:7">
      <c r="A164" s="257" t="s">
        <v>198</v>
      </c>
      <c r="B164" s="258">
        <v>4.2</v>
      </c>
      <c r="C164" s="79">
        <f t="shared" si="2"/>
        <v>4.1</v>
      </c>
      <c r="D164" s="80">
        <v>0.361785714285714</v>
      </c>
      <c r="E164" s="80">
        <v>0.0361785714285714</v>
      </c>
      <c r="F164" s="81">
        <v>0.0396666666666667</v>
      </c>
      <c r="G164" s="81">
        <v>0</v>
      </c>
    </row>
    <row r="165" ht="15.75" spans="1:7">
      <c r="A165" s="257" t="s">
        <v>199</v>
      </c>
      <c r="B165" s="258">
        <v>4.3</v>
      </c>
      <c r="C165" s="79">
        <f t="shared" si="2"/>
        <v>4.2</v>
      </c>
      <c r="D165" s="80">
        <v>0.376627906976744</v>
      </c>
      <c r="E165" s="80">
        <v>0.0376627906976744</v>
      </c>
      <c r="F165" s="81">
        <v>0.0464186046511628</v>
      </c>
      <c r="G165" s="81">
        <v>0</v>
      </c>
    </row>
    <row r="166" ht="15.75" spans="1:7">
      <c r="A166" s="257" t="s">
        <v>200</v>
      </c>
      <c r="B166" s="258">
        <v>4.5</v>
      </c>
      <c r="C166" s="79">
        <f t="shared" si="2"/>
        <v>4.3</v>
      </c>
      <c r="D166" s="80">
        <v>0.404333333333333</v>
      </c>
      <c r="E166" s="80">
        <v>0.0426000000000001</v>
      </c>
      <c r="F166" s="81">
        <v>0.0621333333333334</v>
      </c>
      <c r="G166" s="81">
        <v>0</v>
      </c>
    </row>
    <row r="167" ht="15.75" spans="1:7">
      <c r="A167" s="257" t="s">
        <v>201</v>
      </c>
      <c r="B167" s="258">
        <v>4.6</v>
      </c>
      <c r="C167" s="79">
        <f t="shared" si="2"/>
        <v>4.5</v>
      </c>
      <c r="D167" s="80">
        <v>0.417282608695652</v>
      </c>
      <c r="E167" s="80">
        <v>0.0503695652173913</v>
      </c>
      <c r="F167" s="81">
        <v>0.0694782608695652</v>
      </c>
      <c r="G167" s="81">
        <v>0</v>
      </c>
    </row>
    <row r="168" ht="15.75" spans="1:7">
      <c r="A168" s="257" t="s">
        <v>202</v>
      </c>
      <c r="B168" s="258">
        <v>4.8</v>
      </c>
      <c r="C168" s="79">
        <f t="shared" si="2"/>
        <v>4.6</v>
      </c>
      <c r="D168" s="80">
        <v>0.4415625</v>
      </c>
      <c r="E168" s="80">
        <v>0.0649375000000001</v>
      </c>
      <c r="F168" s="81">
        <v>0.08325</v>
      </c>
      <c r="G168" s="81">
        <v>0</v>
      </c>
    </row>
    <row r="169" ht="15.75" spans="1:7">
      <c r="A169" s="257" t="s">
        <v>203</v>
      </c>
      <c r="B169" s="258">
        <v>5</v>
      </c>
      <c r="C169" s="79">
        <f t="shared" si="2"/>
        <v>4.8</v>
      </c>
      <c r="D169" s="80">
        <v>0.4639</v>
      </c>
      <c r="E169" s="80">
        <v>0.07834</v>
      </c>
      <c r="F169" s="81">
        <v>0.09592</v>
      </c>
      <c r="G169" s="81">
        <v>0</v>
      </c>
    </row>
    <row r="170" ht="15.75" spans="1:7">
      <c r="A170" s="257" t="s">
        <v>204</v>
      </c>
      <c r="B170" s="258">
        <v>5.1</v>
      </c>
      <c r="C170" s="79">
        <f t="shared" si="2"/>
        <v>5</v>
      </c>
      <c r="D170" s="80">
        <v>0.474411764705882</v>
      </c>
      <c r="E170" s="80">
        <v>0.0846470588235294</v>
      </c>
      <c r="F170" s="81">
        <v>0.101882352941177</v>
      </c>
      <c r="G170" s="81">
        <v>0.00117647058823529</v>
      </c>
    </row>
    <row r="171" ht="15.75" spans="1:7">
      <c r="A171" s="257" t="s">
        <v>205</v>
      </c>
      <c r="B171" s="258">
        <v>5.4</v>
      </c>
      <c r="C171" s="79">
        <f t="shared" si="2"/>
        <v>5.1</v>
      </c>
      <c r="D171" s="80">
        <v>0.503611111111111</v>
      </c>
      <c r="E171" s="80">
        <v>0.102166666666667</v>
      </c>
      <c r="F171" s="81">
        <v>0.118444444444445</v>
      </c>
      <c r="G171" s="81">
        <v>0.00666666666666667</v>
      </c>
    </row>
    <row r="172" ht="15.75" spans="1:7">
      <c r="A172" s="257" t="s">
        <v>206</v>
      </c>
      <c r="B172" s="258">
        <v>5.6</v>
      </c>
      <c r="C172" s="79">
        <f t="shared" si="2"/>
        <v>5.4</v>
      </c>
      <c r="D172" s="80">
        <v>0.521339285714286</v>
      </c>
      <c r="E172" s="80">
        <v>0.112803571428571</v>
      </c>
      <c r="F172" s="81">
        <v>0.1285</v>
      </c>
      <c r="G172" s="81">
        <v>0.00999999999999999</v>
      </c>
    </row>
    <row r="173" ht="15.75" spans="1:7">
      <c r="A173" s="257" t="s">
        <v>207</v>
      </c>
      <c r="B173" s="258">
        <v>5.8</v>
      </c>
      <c r="C173" s="79">
        <f t="shared" si="2"/>
        <v>5.6</v>
      </c>
      <c r="D173" s="80">
        <v>0.537844827586207</v>
      </c>
      <c r="E173" s="80">
        <v>0.122706896551724</v>
      </c>
      <c r="F173" s="81">
        <v>0.137862068965517</v>
      </c>
      <c r="G173" s="81">
        <v>0.0131034482758621</v>
      </c>
    </row>
    <row r="174" ht="15.75" spans="1:7">
      <c r="A174" s="257" t="s">
        <v>208</v>
      </c>
      <c r="B174" s="258">
        <v>6</v>
      </c>
      <c r="C174" s="79">
        <f t="shared" si="2"/>
        <v>5.8</v>
      </c>
      <c r="D174" s="80">
        <v>0.55325</v>
      </c>
      <c r="E174" s="80">
        <v>0.13195</v>
      </c>
      <c r="F174" s="81">
        <v>0.1466</v>
      </c>
      <c r="G174" s="81">
        <v>0.016</v>
      </c>
    </row>
    <row r="175" ht="15.75" spans="1:7">
      <c r="A175" s="257" t="s">
        <v>209</v>
      </c>
      <c r="B175" s="258">
        <v>6.3</v>
      </c>
      <c r="C175" s="79">
        <f t="shared" si="2"/>
        <v>6</v>
      </c>
      <c r="D175" s="80">
        <v>0.57452380952381</v>
      </c>
      <c r="E175" s="80">
        <v>0.144714285714286</v>
      </c>
      <c r="F175" s="81">
        <v>0.158666666666667</v>
      </c>
      <c r="G175" s="81">
        <v>0.02</v>
      </c>
    </row>
    <row r="176" ht="15.75" spans="1:7">
      <c r="A176" s="257" t="s">
        <v>210</v>
      </c>
      <c r="B176" s="258">
        <v>6.7</v>
      </c>
      <c r="C176" s="79">
        <f t="shared" si="2"/>
        <v>6.3</v>
      </c>
      <c r="D176" s="80">
        <v>0.599925373134328</v>
      </c>
      <c r="E176" s="80">
        <v>0.159955223880597</v>
      </c>
      <c r="F176" s="81">
        <v>0.173074626865672</v>
      </c>
      <c r="G176" s="81">
        <v>0.0247761194029851</v>
      </c>
    </row>
    <row r="177" ht="15.75" spans="1:7">
      <c r="A177" s="257" t="s">
        <v>211</v>
      </c>
      <c r="B177" s="258">
        <v>7.1</v>
      </c>
      <c r="C177" s="79">
        <f t="shared" si="2"/>
        <v>6.7</v>
      </c>
      <c r="D177" s="80">
        <v>0.622464788732394</v>
      </c>
      <c r="E177" s="80">
        <v>0.173478873239437</v>
      </c>
      <c r="F177" s="81">
        <v>0.185859154929577</v>
      </c>
      <c r="G177" s="81">
        <v>0.0290140845070423</v>
      </c>
    </row>
    <row r="178" ht="15.75" spans="1:7">
      <c r="A178" s="257" t="s">
        <v>212</v>
      </c>
      <c r="B178" s="258">
        <v>7.5</v>
      </c>
      <c r="C178" s="79">
        <f t="shared" si="2"/>
        <v>7.1</v>
      </c>
      <c r="D178" s="80">
        <v>0.6426</v>
      </c>
      <c r="E178" s="80">
        <v>0.18556</v>
      </c>
      <c r="F178" s="81">
        <v>0.19728</v>
      </c>
      <c r="G178" s="81">
        <v>0.0328</v>
      </c>
    </row>
    <row r="179" ht="15.75" spans="1:7">
      <c r="A179" s="257" t="s">
        <v>213</v>
      </c>
      <c r="B179" s="258">
        <v>7.8</v>
      </c>
      <c r="C179" s="79">
        <f t="shared" si="2"/>
        <v>7.5</v>
      </c>
      <c r="D179" s="80">
        <v>0.656346153846154</v>
      </c>
      <c r="E179" s="80">
        <v>0.193807692307692</v>
      </c>
      <c r="F179" s="81">
        <v>0.205076923076923</v>
      </c>
      <c r="G179" s="81">
        <v>0.0353846153846154</v>
      </c>
    </row>
    <row r="180" ht="15.75" spans="1:7">
      <c r="A180" s="257" t="s">
        <v>214</v>
      </c>
      <c r="B180" s="258">
        <v>8.4</v>
      </c>
      <c r="C180" s="79">
        <f t="shared" si="2"/>
        <v>7.8</v>
      </c>
      <c r="D180" s="80">
        <v>0.680892857142857</v>
      </c>
      <c r="E180" s="80">
        <v>0.208535714285714</v>
      </c>
      <c r="F180" s="81">
        <v>0.219</v>
      </c>
      <c r="G180" s="81">
        <v>0.04</v>
      </c>
    </row>
    <row r="181" ht="15.75" spans="1:7">
      <c r="A181" s="257" t="s">
        <v>215</v>
      </c>
      <c r="B181" s="258">
        <v>9.3</v>
      </c>
      <c r="C181" s="79">
        <f t="shared" si="2"/>
        <v>8.4</v>
      </c>
      <c r="D181" s="80">
        <v>0.711774193548387</v>
      </c>
      <c r="E181" s="80">
        <v>0.227064516129032</v>
      </c>
      <c r="F181" s="81">
        <v>0.236516129032258</v>
      </c>
      <c r="G181" s="81">
        <v>0.0748387096774194</v>
      </c>
    </row>
    <row r="182" ht="15.75" spans="1:7">
      <c r="A182" s="257" t="s">
        <v>216</v>
      </c>
      <c r="B182" s="258">
        <v>10.5</v>
      </c>
      <c r="C182" s="79">
        <f t="shared" si="2"/>
        <v>9.3</v>
      </c>
      <c r="D182" s="80">
        <v>0.744714285714286</v>
      </c>
      <c r="E182" s="80">
        <v>0.246828571428571</v>
      </c>
      <c r="F182" s="81">
        <v>0.2552</v>
      </c>
      <c r="G182" s="81">
        <v>0.112</v>
      </c>
    </row>
    <row r="183" ht="15.75" spans="1:7">
      <c r="A183" s="257" t="s">
        <v>217</v>
      </c>
      <c r="B183" s="258">
        <v>12.4</v>
      </c>
      <c r="C183" s="79">
        <f t="shared" si="2"/>
        <v>10.5</v>
      </c>
      <c r="D183" s="80">
        <v>0.78383064516129</v>
      </c>
      <c r="E183" s="80">
        <v>0.270298387096774</v>
      </c>
      <c r="F183" s="81">
        <v>0.277387096774194</v>
      </c>
      <c r="G183" s="81">
        <v>0.156129032258065</v>
      </c>
    </row>
    <row r="184" ht="15.75" spans="1:7">
      <c r="A184" s="257" t="s">
        <v>218</v>
      </c>
      <c r="B184" s="258">
        <v>15.8</v>
      </c>
      <c r="C184" s="79">
        <f t="shared" si="2"/>
        <v>12.4</v>
      </c>
      <c r="D184" s="80">
        <v>0.830348101265823</v>
      </c>
      <c r="E184" s="80">
        <v>0.298208860759494</v>
      </c>
      <c r="F184" s="81">
        <v>0.303772151898734</v>
      </c>
      <c r="G184" s="81">
        <v>0.208607594936709</v>
      </c>
    </row>
    <row r="185" ht="15.75" spans="1:7">
      <c r="A185" s="257" t="s">
        <v>219</v>
      </c>
      <c r="B185" s="258">
        <v>26.7</v>
      </c>
      <c r="C185" s="79">
        <f t="shared" si="2"/>
        <v>15.8</v>
      </c>
      <c r="D185" s="80">
        <v>0.899606741573034</v>
      </c>
      <c r="E185" s="80">
        <v>0.33976404494382</v>
      </c>
      <c r="F185" s="81">
        <v>0.343056179775281</v>
      </c>
      <c r="G185" s="81">
        <v>0.286741573033708</v>
      </c>
    </row>
    <row r="186" ht="15.75" spans="1:7">
      <c r="A186" s="257" t="s">
        <v>220</v>
      </c>
      <c r="B186" s="258">
        <v>34.2</v>
      </c>
      <c r="C186" s="79">
        <f t="shared" si="2"/>
        <v>26.7</v>
      </c>
      <c r="D186" s="80">
        <v>0.921622807017544</v>
      </c>
      <c r="E186" s="80">
        <v>0.352973684210526</v>
      </c>
      <c r="F186" s="81">
        <v>0.355543859649123</v>
      </c>
      <c r="G186" s="81">
        <v>0.311578947368421</v>
      </c>
    </row>
    <row r="187" ht="15.75" spans="1:7">
      <c r="A187" s="257" t="s">
        <v>221</v>
      </c>
      <c r="B187" s="259">
        <v>42.9</v>
      </c>
      <c r="C187" s="79">
        <f t="shared" si="2"/>
        <v>34.2</v>
      </c>
      <c r="D187" s="80">
        <v>0.937517482517482</v>
      </c>
      <c r="E187" s="80">
        <v>0.362510489510489</v>
      </c>
      <c r="F187" s="81">
        <v>0.364559440559441</v>
      </c>
      <c r="G187" s="81">
        <v>0.32951048951049</v>
      </c>
    </row>
    <row r="188" ht="15.75" spans="1:7">
      <c r="A188" s="257" t="s">
        <v>221</v>
      </c>
      <c r="B188" s="257" t="s">
        <v>348</v>
      </c>
      <c r="C188" s="79">
        <f t="shared" si="2"/>
        <v>42.9</v>
      </c>
      <c r="D188" s="260"/>
      <c r="E188" s="72"/>
      <c r="F188" s="73"/>
      <c r="G188" s="84"/>
    </row>
    <row r="189" ht="15.75" spans="1:7">
      <c r="A189" s="257"/>
      <c r="B189" s="257">
        <v>5.4</v>
      </c>
      <c r="C189" s="116"/>
      <c r="D189" s="260"/>
      <c r="E189" s="261">
        <v>0.085643696979711</v>
      </c>
      <c r="F189" s="262">
        <v>0.0923793942296046</v>
      </c>
      <c r="G189" s="262">
        <v>0.0341665550322044</v>
      </c>
    </row>
    <row r="190" ht="48.75" spans="1:7">
      <c r="A190" s="256" t="s">
        <v>233</v>
      </c>
      <c r="B190" s="257">
        <v>6</v>
      </c>
      <c r="C190" s="116"/>
      <c r="D190" s="260"/>
      <c r="E190" s="263">
        <v>4.4675</v>
      </c>
      <c r="F190" s="264">
        <v>4.22333333333333</v>
      </c>
      <c r="G190" s="265">
        <v>6</v>
      </c>
    </row>
    <row r="191" ht="48.75" spans="1:7">
      <c r="A191" s="256" t="s">
        <v>224</v>
      </c>
      <c r="B191" s="116">
        <v>4.9</v>
      </c>
      <c r="C191" s="116"/>
      <c r="D191" s="72"/>
      <c r="E191" s="72"/>
      <c r="F191" s="73"/>
      <c r="G191" s="73"/>
    </row>
    <row r="192" ht="84.75" spans="1:7">
      <c r="A192" s="266" t="s">
        <v>225</v>
      </c>
      <c r="B192" s="116">
        <v>3.6</v>
      </c>
      <c r="C192" s="116"/>
      <c r="D192" s="72"/>
      <c r="E192" s="72">
        <v>2.6805</v>
      </c>
      <c r="F192" s="73">
        <v>2.534</v>
      </c>
      <c r="G192" s="73">
        <v>3.6</v>
      </c>
    </row>
    <row r="195" spans="1:3">
      <c r="A195" s="531" t="s">
        <v>226</v>
      </c>
      <c r="B195" s="95">
        <f>AVERAGE(B143:B182)</f>
        <v>4.4675</v>
      </c>
      <c r="C195" s="95"/>
    </row>
    <row r="196" spans="1:3">
      <c r="A196" s="531" t="s">
        <v>227</v>
      </c>
      <c r="B196" s="96">
        <f>AVERAGE(B148:B177)</f>
        <v>4.22333333333333</v>
      </c>
      <c r="C196" s="96"/>
    </row>
    <row r="197" spans="1:3">
      <c r="A197" s="531" t="s">
        <v>228</v>
      </c>
      <c r="B197" s="96">
        <f>AVERAGE(B154:B172)</f>
        <v>4.16315789473684</v>
      </c>
      <c r="C197" s="96"/>
    </row>
    <row r="200" customHeight="1" spans="1:7">
      <c r="A200" s="83" t="s">
        <v>165</v>
      </c>
      <c r="B200" s="83" t="s">
        <v>234</v>
      </c>
      <c r="C200" s="83"/>
      <c r="D200" s="83"/>
      <c r="E200" s="86">
        <f>(1-E255)^(1/3)-1</f>
        <v>-0.027839405345646</v>
      </c>
      <c r="F200" s="86">
        <f>(1-F255)^(1/3)-1</f>
        <v>-0.0300104994352463</v>
      </c>
      <c r="G200" s="86"/>
    </row>
    <row r="201" ht="72" spans="1:7">
      <c r="A201" s="83"/>
      <c r="B201" s="83" t="s">
        <v>167</v>
      </c>
      <c r="C201" s="83"/>
      <c r="D201" s="83" t="s">
        <v>168</v>
      </c>
      <c r="E201" s="83" t="s">
        <v>169</v>
      </c>
      <c r="F201" s="84" t="s">
        <v>169</v>
      </c>
      <c r="G201" s="84"/>
    </row>
    <row r="202" ht="24" spans="1:7">
      <c r="A202" s="83"/>
      <c r="B202" s="83" t="s">
        <v>235</v>
      </c>
      <c r="C202" s="83"/>
      <c r="D202" s="83" t="s">
        <v>171</v>
      </c>
      <c r="E202" s="534" t="s">
        <v>227</v>
      </c>
      <c r="F202" s="84"/>
      <c r="G202" s="267"/>
    </row>
    <row r="203" spans="1:7">
      <c r="A203" s="75">
        <v>1</v>
      </c>
      <c r="B203" s="76">
        <v>2</v>
      </c>
      <c r="C203" s="76"/>
      <c r="D203" s="76">
        <v>3</v>
      </c>
      <c r="E203" s="76">
        <v>4</v>
      </c>
      <c r="F203" s="77">
        <v>5</v>
      </c>
      <c r="G203" s="77"/>
    </row>
    <row r="204" spans="1:7">
      <c r="A204" s="530" t="s">
        <v>172</v>
      </c>
      <c r="B204" s="93">
        <v>1.4</v>
      </c>
      <c r="C204" s="89">
        <v>0</v>
      </c>
      <c r="D204" s="80">
        <v>0</v>
      </c>
      <c r="E204" s="80">
        <v>0</v>
      </c>
      <c r="F204" s="81">
        <v>0</v>
      </c>
      <c r="G204" s="81">
        <v>0</v>
      </c>
    </row>
    <row r="205" spans="1:7">
      <c r="A205" s="530" t="s">
        <v>173</v>
      </c>
      <c r="B205" s="93">
        <v>2</v>
      </c>
      <c r="C205" s="79">
        <f>B204</f>
        <v>1.4</v>
      </c>
      <c r="D205" s="80">
        <v>0</v>
      </c>
      <c r="E205" s="80">
        <v>0</v>
      </c>
      <c r="F205" s="81">
        <v>0</v>
      </c>
      <c r="G205" s="81">
        <v>0</v>
      </c>
    </row>
    <row r="206" spans="1:7">
      <c r="A206" s="530" t="s">
        <v>174</v>
      </c>
      <c r="B206" s="93">
        <v>2.4</v>
      </c>
      <c r="C206" s="79">
        <f t="shared" ref="C206:C254" si="3">B205</f>
        <v>2</v>
      </c>
      <c r="D206" s="80">
        <v>0</v>
      </c>
      <c r="E206" s="80">
        <v>0</v>
      </c>
      <c r="F206" s="81">
        <v>0</v>
      </c>
      <c r="G206" s="81">
        <v>0</v>
      </c>
    </row>
    <row r="207" spans="1:7">
      <c r="A207" s="530" t="s">
        <v>175</v>
      </c>
      <c r="B207" s="93">
        <v>2.7</v>
      </c>
      <c r="C207" s="79">
        <f t="shared" si="3"/>
        <v>2.4</v>
      </c>
      <c r="D207" s="80">
        <v>0</v>
      </c>
      <c r="E207" s="80">
        <v>0</v>
      </c>
      <c r="F207" s="81">
        <v>0</v>
      </c>
      <c r="G207" s="81">
        <v>0</v>
      </c>
    </row>
    <row r="208" spans="1:7">
      <c r="A208" s="530" t="s">
        <v>176</v>
      </c>
      <c r="B208" s="93">
        <v>3</v>
      </c>
      <c r="C208" s="79">
        <f t="shared" si="3"/>
        <v>2.7</v>
      </c>
      <c r="D208" s="80">
        <v>0</v>
      </c>
      <c r="E208" s="80">
        <v>0</v>
      </c>
      <c r="F208" s="81">
        <v>0</v>
      </c>
      <c r="G208" s="81">
        <v>0</v>
      </c>
    </row>
    <row r="209" spans="1:7">
      <c r="A209" s="530" t="s">
        <v>177</v>
      </c>
      <c r="B209" s="93">
        <v>3.2</v>
      </c>
      <c r="C209" s="79">
        <f t="shared" si="3"/>
        <v>3</v>
      </c>
      <c r="D209" s="80">
        <v>0</v>
      </c>
      <c r="E209" s="80">
        <v>0</v>
      </c>
      <c r="F209" s="81">
        <v>0</v>
      </c>
      <c r="G209" s="81">
        <v>0</v>
      </c>
    </row>
    <row r="210" spans="1:7">
      <c r="A210" s="530" t="s">
        <v>178</v>
      </c>
      <c r="B210" s="93">
        <v>3.5</v>
      </c>
      <c r="C210" s="79">
        <f t="shared" si="3"/>
        <v>3.2</v>
      </c>
      <c r="D210" s="80">
        <v>0</v>
      </c>
      <c r="E210" s="80">
        <v>0</v>
      </c>
      <c r="F210" s="81">
        <v>0</v>
      </c>
      <c r="G210" s="81">
        <v>0</v>
      </c>
    </row>
    <row r="211" spans="1:7">
      <c r="A211" s="78" t="s">
        <v>179</v>
      </c>
      <c r="B211" s="93">
        <v>3.7</v>
      </c>
      <c r="C211" s="79">
        <f t="shared" si="3"/>
        <v>3.5</v>
      </c>
      <c r="D211" s="80">
        <v>0</v>
      </c>
      <c r="E211" s="80">
        <v>0</v>
      </c>
      <c r="F211" s="81">
        <v>0</v>
      </c>
      <c r="G211" s="81">
        <v>0</v>
      </c>
    </row>
    <row r="212" spans="1:7">
      <c r="A212" s="78" t="s">
        <v>180</v>
      </c>
      <c r="B212" s="93">
        <v>3.9</v>
      </c>
      <c r="C212" s="79">
        <f t="shared" si="3"/>
        <v>3.7</v>
      </c>
      <c r="D212" s="80">
        <v>0</v>
      </c>
      <c r="E212" s="80">
        <v>0</v>
      </c>
      <c r="F212" s="81">
        <v>0</v>
      </c>
      <c r="G212" s="81">
        <v>0</v>
      </c>
    </row>
    <row r="213" spans="1:7">
      <c r="A213" s="78" t="s">
        <v>181</v>
      </c>
      <c r="B213" s="93">
        <v>4.1</v>
      </c>
      <c r="C213" s="79">
        <f t="shared" si="3"/>
        <v>3.9</v>
      </c>
      <c r="D213" s="80">
        <v>0</v>
      </c>
      <c r="E213" s="80">
        <v>0</v>
      </c>
      <c r="F213" s="81">
        <v>0</v>
      </c>
      <c r="G213" s="81">
        <v>0</v>
      </c>
    </row>
    <row r="214" spans="1:7">
      <c r="A214" s="78" t="s">
        <v>182</v>
      </c>
      <c r="B214" s="93">
        <v>4.3</v>
      </c>
      <c r="C214" s="79">
        <f t="shared" si="3"/>
        <v>4.1</v>
      </c>
      <c r="D214" s="80">
        <v>0</v>
      </c>
      <c r="E214" s="80">
        <v>0</v>
      </c>
      <c r="F214" s="81">
        <v>0</v>
      </c>
      <c r="G214" s="81">
        <v>0</v>
      </c>
    </row>
    <row r="215" spans="1:7">
      <c r="A215" s="78" t="s">
        <v>183</v>
      </c>
      <c r="B215" s="93">
        <v>4.5</v>
      </c>
      <c r="C215" s="79">
        <f t="shared" si="3"/>
        <v>4.3</v>
      </c>
      <c r="D215" s="80">
        <v>0</v>
      </c>
      <c r="E215" s="80">
        <v>0</v>
      </c>
      <c r="F215" s="81">
        <v>0.00404444444444443</v>
      </c>
      <c r="G215" s="81">
        <v>0</v>
      </c>
    </row>
    <row r="216" spans="1:7">
      <c r="A216" s="78" t="s">
        <v>184</v>
      </c>
      <c r="B216" s="93">
        <v>4.6</v>
      </c>
      <c r="C216" s="79">
        <f t="shared" si="3"/>
        <v>4.5</v>
      </c>
      <c r="D216" s="80">
        <v>0.0155434782608694</v>
      </c>
      <c r="E216" s="80"/>
      <c r="F216" s="81">
        <v>0.00613043478260868</v>
      </c>
      <c r="G216" s="81">
        <v>0</v>
      </c>
    </row>
    <row r="217" spans="1:7">
      <c r="A217" s="78" t="s">
        <v>185</v>
      </c>
      <c r="B217" s="93">
        <v>4.8</v>
      </c>
      <c r="C217" s="79">
        <f t="shared" si="3"/>
        <v>4.6</v>
      </c>
      <c r="D217" s="80">
        <v>0.0565624999999999</v>
      </c>
      <c r="E217" s="80"/>
      <c r="F217" s="81">
        <v>0.0100416666666667</v>
      </c>
      <c r="G217" s="81">
        <v>0</v>
      </c>
    </row>
    <row r="218" spans="1:7">
      <c r="A218" s="78" t="s">
        <v>186</v>
      </c>
      <c r="B218" s="93">
        <v>5</v>
      </c>
      <c r="C218" s="79">
        <f t="shared" si="3"/>
        <v>4.8</v>
      </c>
      <c r="D218" s="80">
        <v>0.0943</v>
      </c>
      <c r="E218" s="80"/>
      <c r="F218" s="81">
        <v>0.01364</v>
      </c>
      <c r="G218" s="81">
        <v>0</v>
      </c>
    </row>
    <row r="219" spans="1:7">
      <c r="A219" s="78" t="s">
        <v>187</v>
      </c>
      <c r="B219" s="93">
        <v>5.2</v>
      </c>
      <c r="C219" s="79">
        <f t="shared" si="3"/>
        <v>5</v>
      </c>
      <c r="D219" s="80">
        <v>0.129134615384615</v>
      </c>
      <c r="E219" s="80">
        <v>0.0129134615384615</v>
      </c>
      <c r="F219" s="81">
        <v>0.0169615384615385</v>
      </c>
      <c r="G219" s="81">
        <v>0.00307692307692308</v>
      </c>
    </row>
    <row r="220" spans="1:7">
      <c r="A220" s="78" t="s">
        <v>188</v>
      </c>
      <c r="B220" s="93">
        <v>5.3</v>
      </c>
      <c r="C220" s="79">
        <f t="shared" si="3"/>
        <v>5.2</v>
      </c>
      <c r="D220" s="80">
        <v>0.145566037735849</v>
      </c>
      <c r="E220" s="80">
        <v>0.0145566037735849</v>
      </c>
      <c r="F220" s="81">
        <v>0.0185283018867924</v>
      </c>
      <c r="G220" s="81">
        <v>0.00490566037735849</v>
      </c>
    </row>
    <row r="221" spans="1:7">
      <c r="A221" s="78" t="s">
        <v>189</v>
      </c>
      <c r="B221" s="93">
        <v>5.5</v>
      </c>
      <c r="C221" s="79">
        <f t="shared" si="3"/>
        <v>5.3</v>
      </c>
      <c r="D221" s="80">
        <v>0.176636363636364</v>
      </c>
      <c r="E221" s="80">
        <v>0.0176636363636364</v>
      </c>
      <c r="F221" s="81">
        <v>0.0214909090909091</v>
      </c>
      <c r="G221" s="81">
        <v>0.00836363636363636</v>
      </c>
    </row>
    <row r="222" spans="1:7">
      <c r="A222" s="78" t="s">
        <v>190</v>
      </c>
      <c r="B222" s="93">
        <v>5.7</v>
      </c>
      <c r="C222" s="79">
        <f t="shared" si="3"/>
        <v>5.5</v>
      </c>
      <c r="D222" s="80">
        <v>0.205526315789474</v>
      </c>
      <c r="E222" s="80">
        <v>0.0205526315789474</v>
      </c>
      <c r="F222" s="81">
        <v>0.0242456140350877</v>
      </c>
      <c r="G222" s="81">
        <v>0.0115789473684211</v>
      </c>
    </row>
    <row r="223" spans="1:7">
      <c r="A223" s="78" t="s">
        <v>191</v>
      </c>
      <c r="B223" s="93">
        <v>5.9</v>
      </c>
      <c r="C223" s="79">
        <f t="shared" si="3"/>
        <v>5.7</v>
      </c>
      <c r="D223" s="80">
        <v>0.232457627118644</v>
      </c>
      <c r="E223" s="80">
        <v>0.0232457627118644</v>
      </c>
      <c r="F223" s="81">
        <v>0.0268135593220339</v>
      </c>
      <c r="G223" s="81">
        <v>0.0145762711864407</v>
      </c>
    </row>
    <row r="224" spans="1:7">
      <c r="A224" s="78" t="s">
        <v>192</v>
      </c>
      <c r="B224" s="93">
        <v>6.1</v>
      </c>
      <c r="C224" s="79">
        <f t="shared" si="3"/>
        <v>5.9</v>
      </c>
      <c r="D224" s="80">
        <v>0.257622950819672</v>
      </c>
      <c r="E224" s="80">
        <v>0.0257622950819672</v>
      </c>
      <c r="F224" s="81">
        <v>0.0292131147540983</v>
      </c>
      <c r="G224" s="81">
        <v>0.0173770491803279</v>
      </c>
    </row>
    <row r="225" spans="1:7">
      <c r="A225" s="78" t="s">
        <v>193</v>
      </c>
      <c r="B225" s="93">
        <v>6.3</v>
      </c>
      <c r="C225" s="79">
        <f t="shared" si="3"/>
        <v>6.1</v>
      </c>
      <c r="D225" s="80">
        <v>0.281190476190476</v>
      </c>
      <c r="E225" s="80">
        <v>0.0281190476190476</v>
      </c>
      <c r="F225" s="81">
        <v>0.0314603174603175</v>
      </c>
      <c r="G225" s="81">
        <v>0.02</v>
      </c>
    </row>
    <row r="226" spans="1:7">
      <c r="A226" s="78" t="s">
        <v>194</v>
      </c>
      <c r="B226" s="93">
        <v>6.4</v>
      </c>
      <c r="C226" s="79">
        <f t="shared" si="3"/>
        <v>6.3</v>
      </c>
      <c r="D226" s="80">
        <v>0.292421875</v>
      </c>
      <c r="E226" s="80">
        <v>0.0292421875</v>
      </c>
      <c r="F226" s="81">
        <v>0.03253125</v>
      </c>
      <c r="G226" s="81">
        <v>0.02125</v>
      </c>
    </row>
    <row r="227" spans="1:7">
      <c r="A227" s="78" t="s">
        <v>195</v>
      </c>
      <c r="B227" s="93">
        <v>6.6</v>
      </c>
      <c r="C227" s="79">
        <f t="shared" si="3"/>
        <v>6.4</v>
      </c>
      <c r="D227" s="80">
        <v>0.313863636363636</v>
      </c>
      <c r="E227" s="80">
        <v>0.0313863636363636</v>
      </c>
      <c r="F227" s="81">
        <v>0.0345757575757576</v>
      </c>
      <c r="G227" s="81">
        <v>0.0236363636363636</v>
      </c>
    </row>
    <row r="228" spans="1:7">
      <c r="A228" s="78" t="s">
        <v>196</v>
      </c>
      <c r="B228" s="93">
        <v>6.8</v>
      </c>
      <c r="C228" s="79">
        <f t="shared" si="3"/>
        <v>6.6</v>
      </c>
      <c r="D228" s="80">
        <v>0.334044117647059</v>
      </c>
      <c r="E228" s="80">
        <v>0.0334044117647059</v>
      </c>
      <c r="F228" s="81">
        <v>0.0365</v>
      </c>
      <c r="G228" s="81">
        <v>0.0258823529411765</v>
      </c>
    </row>
    <row r="229" spans="1:7">
      <c r="A229" s="78" t="s">
        <v>197</v>
      </c>
      <c r="B229" s="93">
        <v>7</v>
      </c>
      <c r="C229" s="79">
        <f t="shared" si="3"/>
        <v>6.8</v>
      </c>
      <c r="D229" s="80">
        <v>0.353071428571429</v>
      </c>
      <c r="E229" s="80">
        <v>0.0353071428571429</v>
      </c>
      <c r="F229" s="81">
        <v>0.0383142857142857</v>
      </c>
      <c r="G229" s="81">
        <v>0.028</v>
      </c>
    </row>
    <row r="230" spans="1:7">
      <c r="A230" s="78" t="s">
        <v>198</v>
      </c>
      <c r="B230" s="93">
        <v>7.2</v>
      </c>
      <c r="C230" s="79">
        <f t="shared" si="3"/>
        <v>7</v>
      </c>
      <c r="D230" s="80">
        <v>0.371041666666667</v>
      </c>
      <c r="E230" s="80">
        <v>0.0371041666666667</v>
      </c>
      <c r="F230" s="81">
        <v>0.0401666666666666</v>
      </c>
      <c r="G230" s="81">
        <v>0.03</v>
      </c>
    </row>
    <row r="231" spans="1:7">
      <c r="A231" s="78" t="s">
        <v>199</v>
      </c>
      <c r="B231" s="93">
        <v>7.4</v>
      </c>
      <c r="C231" s="79">
        <f t="shared" si="3"/>
        <v>7.2</v>
      </c>
      <c r="D231" s="80">
        <v>0.388040540540541</v>
      </c>
      <c r="E231" s="80">
        <v>0.0388040540540541</v>
      </c>
      <c r="F231" s="81">
        <v>0.0498918918918918</v>
      </c>
      <c r="G231" s="81">
        <v>0.0318918918918919</v>
      </c>
    </row>
    <row r="232" spans="1:7">
      <c r="A232" s="78" t="s">
        <v>200</v>
      </c>
      <c r="B232" s="93">
        <v>7.7</v>
      </c>
      <c r="C232" s="79">
        <f t="shared" si="3"/>
        <v>7.4</v>
      </c>
      <c r="D232" s="80">
        <v>0.411883116883117</v>
      </c>
      <c r="E232" s="80">
        <v>0.0471298701298701</v>
      </c>
      <c r="F232" s="81">
        <v>0.0635324675324675</v>
      </c>
      <c r="G232" s="81">
        <v>0.0345454545454545</v>
      </c>
    </row>
    <row r="233" spans="1:7">
      <c r="A233" s="78" t="s">
        <v>201</v>
      </c>
      <c r="B233" s="93">
        <v>7.9</v>
      </c>
      <c r="C233" s="79">
        <f t="shared" si="3"/>
        <v>7.7</v>
      </c>
      <c r="D233" s="80">
        <v>0.426772151898734</v>
      </c>
      <c r="E233" s="80">
        <v>0.0560632911392405</v>
      </c>
      <c r="F233" s="81">
        <v>0.0720506329113924</v>
      </c>
      <c r="G233" s="81">
        <v>0.0362025316455696</v>
      </c>
    </row>
    <row r="234" spans="1:7">
      <c r="A234" s="78" t="s">
        <v>202</v>
      </c>
      <c r="B234" s="93">
        <v>8.1</v>
      </c>
      <c r="C234" s="79">
        <f t="shared" si="3"/>
        <v>7.9</v>
      </c>
      <c r="D234" s="80">
        <v>0.440925925925926</v>
      </c>
      <c r="E234" s="80">
        <v>0.0645555555555555</v>
      </c>
      <c r="F234" s="81">
        <v>0.0801481481481481</v>
      </c>
      <c r="G234" s="81">
        <v>0.0377777777777778</v>
      </c>
    </row>
    <row r="235" spans="1:7">
      <c r="A235" s="78" t="s">
        <v>203</v>
      </c>
      <c r="B235" s="93">
        <v>8.4</v>
      </c>
      <c r="C235" s="79">
        <f t="shared" si="3"/>
        <v>8.1</v>
      </c>
      <c r="D235" s="80">
        <v>0.460892857142857</v>
      </c>
      <c r="E235" s="80">
        <v>0.0765357142857143</v>
      </c>
      <c r="F235" s="81">
        <v>0.0915714285714285</v>
      </c>
      <c r="G235" s="81">
        <v>0.04</v>
      </c>
    </row>
    <row r="236" spans="1:7">
      <c r="A236" s="78" t="s">
        <v>204</v>
      </c>
      <c r="B236" s="93">
        <v>8.7</v>
      </c>
      <c r="C236" s="79">
        <f t="shared" si="3"/>
        <v>8.4</v>
      </c>
      <c r="D236" s="80">
        <v>0.47948275862069</v>
      </c>
      <c r="E236" s="80">
        <v>0.0876896551724137</v>
      </c>
      <c r="F236" s="81">
        <v>0.102206896551724</v>
      </c>
      <c r="G236" s="81">
        <v>0.0524137931034482</v>
      </c>
    </row>
    <row r="237" spans="1:7">
      <c r="A237" s="78" t="s">
        <v>205</v>
      </c>
      <c r="B237" s="93">
        <v>9</v>
      </c>
      <c r="C237" s="79">
        <f t="shared" si="3"/>
        <v>8.7</v>
      </c>
      <c r="D237" s="80">
        <v>0.496833333333333</v>
      </c>
      <c r="E237" s="80">
        <v>0.0981</v>
      </c>
      <c r="F237" s="81">
        <v>0.112133333333333</v>
      </c>
      <c r="G237" s="81">
        <v>0.064</v>
      </c>
    </row>
    <row r="238" spans="1:7">
      <c r="A238" s="78" t="s">
        <v>206</v>
      </c>
      <c r="B238" s="93">
        <v>9.3</v>
      </c>
      <c r="C238" s="79">
        <f t="shared" si="3"/>
        <v>9</v>
      </c>
      <c r="D238" s="80">
        <v>0.513064516129032</v>
      </c>
      <c r="E238" s="80">
        <v>0.107838709677419</v>
      </c>
      <c r="F238" s="81">
        <v>0.12141935483871</v>
      </c>
      <c r="G238" s="81">
        <v>0.0748387096774194</v>
      </c>
    </row>
    <row r="239" spans="1:7">
      <c r="A239" s="78" t="s">
        <v>207</v>
      </c>
      <c r="B239" s="93">
        <v>9.6</v>
      </c>
      <c r="C239" s="79">
        <f t="shared" si="3"/>
        <v>9.3</v>
      </c>
      <c r="D239" s="80">
        <v>0.52828125</v>
      </c>
      <c r="E239" s="80">
        <v>0.11696875</v>
      </c>
      <c r="F239" s="81">
        <v>0.130125</v>
      </c>
      <c r="G239" s="81">
        <v>0.085</v>
      </c>
    </row>
    <row r="240" spans="1:7">
      <c r="A240" s="78" t="s">
        <v>208</v>
      </c>
      <c r="B240" s="93">
        <v>10</v>
      </c>
      <c r="C240" s="79">
        <f t="shared" si="3"/>
        <v>9.6</v>
      </c>
      <c r="D240" s="80">
        <v>0.54715</v>
      </c>
      <c r="E240" s="80">
        <v>0.12829</v>
      </c>
      <c r="F240" s="81">
        <v>0.14092</v>
      </c>
      <c r="G240" s="81">
        <v>0.0976</v>
      </c>
    </row>
    <row r="241" spans="1:7">
      <c r="A241" s="78" t="s">
        <v>209</v>
      </c>
      <c r="B241" s="93">
        <v>10.4</v>
      </c>
      <c r="C241" s="79">
        <f t="shared" si="3"/>
        <v>10</v>
      </c>
      <c r="D241" s="80">
        <v>0.564567307692308</v>
      </c>
      <c r="E241" s="80">
        <v>0.138740384615385</v>
      </c>
      <c r="F241" s="81">
        <v>0.150884615384615</v>
      </c>
      <c r="G241" s="81">
        <v>0.109230769230769</v>
      </c>
    </row>
    <row r="242" spans="1:7">
      <c r="A242" s="78" t="s">
        <v>210</v>
      </c>
      <c r="B242" s="93">
        <v>10.8</v>
      </c>
      <c r="C242" s="79">
        <f t="shared" si="3"/>
        <v>10.4</v>
      </c>
      <c r="D242" s="80">
        <v>0.580694444444444</v>
      </c>
      <c r="E242" s="80">
        <v>0.148416666666667</v>
      </c>
      <c r="F242" s="81">
        <v>0.160111111111111</v>
      </c>
      <c r="G242" s="81">
        <v>0.12</v>
      </c>
    </row>
    <row r="243" spans="1:7">
      <c r="A243" s="78" t="s">
        <v>211</v>
      </c>
      <c r="B243" s="93">
        <v>11.4</v>
      </c>
      <c r="C243" s="79">
        <f t="shared" si="3"/>
        <v>10.8</v>
      </c>
      <c r="D243" s="80">
        <v>0.602763157894737</v>
      </c>
      <c r="E243" s="80">
        <v>0.161657894736842</v>
      </c>
      <c r="F243" s="81">
        <v>0.172736842105263</v>
      </c>
      <c r="G243" s="81">
        <v>0.134736842105263</v>
      </c>
    </row>
    <row r="244" spans="1:7">
      <c r="A244" s="78" t="s">
        <v>212</v>
      </c>
      <c r="B244" s="93">
        <v>11.9</v>
      </c>
      <c r="C244" s="79">
        <f t="shared" si="3"/>
        <v>11.4</v>
      </c>
      <c r="D244" s="80">
        <v>0.619453781512605</v>
      </c>
      <c r="E244" s="80">
        <v>0.171672268907563</v>
      </c>
      <c r="F244" s="81">
        <v>0.182285714285714</v>
      </c>
      <c r="G244" s="81">
        <v>0.145882352941176</v>
      </c>
    </row>
    <row r="245" spans="1:7">
      <c r="A245" s="78" t="s">
        <v>213</v>
      </c>
      <c r="B245" s="93">
        <v>12.6</v>
      </c>
      <c r="C245" s="79">
        <f t="shared" si="3"/>
        <v>11.9</v>
      </c>
      <c r="D245" s="80">
        <v>0.640595238095238</v>
      </c>
      <c r="E245" s="80">
        <v>0.184357142857143</v>
      </c>
      <c r="F245" s="81">
        <v>0.194380952380952</v>
      </c>
      <c r="G245" s="81">
        <v>0.16</v>
      </c>
    </row>
    <row r="246" spans="1:7">
      <c r="A246" s="78" t="s">
        <v>214</v>
      </c>
      <c r="B246" s="93">
        <v>13.3</v>
      </c>
      <c r="C246" s="79">
        <f t="shared" si="3"/>
        <v>12.6</v>
      </c>
      <c r="D246" s="80">
        <v>0.659511278195489</v>
      </c>
      <c r="E246" s="80">
        <v>0.195706766917293</v>
      </c>
      <c r="F246" s="81">
        <v>0.205203007518797</v>
      </c>
      <c r="G246" s="81">
        <v>0.172631578947368</v>
      </c>
    </row>
    <row r="247" spans="1:7">
      <c r="A247" s="78" t="s">
        <v>215</v>
      </c>
      <c r="B247" s="93">
        <v>14.2</v>
      </c>
      <c r="C247" s="79">
        <f t="shared" si="3"/>
        <v>13.3</v>
      </c>
      <c r="D247" s="80">
        <v>0.681091549295775</v>
      </c>
      <c r="E247" s="80">
        <v>0.208654929577465</v>
      </c>
      <c r="F247" s="81">
        <v>0.217549295774648</v>
      </c>
      <c r="G247" s="81">
        <v>0.187042253521127</v>
      </c>
    </row>
    <row r="248" spans="1:7">
      <c r="A248" s="78" t="s">
        <v>216</v>
      </c>
      <c r="B248" s="93">
        <v>15.6</v>
      </c>
      <c r="C248" s="79">
        <f t="shared" si="3"/>
        <v>14.2</v>
      </c>
      <c r="D248" s="80">
        <v>0.709711538461538</v>
      </c>
      <c r="E248" s="80">
        <v>0.225826923076923</v>
      </c>
      <c r="F248" s="81">
        <v>0.233923076923077</v>
      </c>
      <c r="G248" s="81">
        <v>0.206153846153846</v>
      </c>
    </row>
    <row r="249" spans="1:7">
      <c r="A249" s="78" t="s">
        <v>217</v>
      </c>
      <c r="B249" s="93">
        <v>17.5</v>
      </c>
      <c r="C249" s="79">
        <f t="shared" si="3"/>
        <v>15.6</v>
      </c>
      <c r="D249" s="80">
        <v>0.741228571428571</v>
      </c>
      <c r="E249" s="80">
        <v>0.244737142857143</v>
      </c>
      <c r="F249" s="81">
        <v>0.251954285714286</v>
      </c>
      <c r="G249" s="81">
        <v>0.2272</v>
      </c>
    </row>
    <row r="250" spans="1:7">
      <c r="A250" s="78" t="s">
        <v>218</v>
      </c>
      <c r="B250" s="93">
        <v>20.2</v>
      </c>
      <c r="C250" s="79">
        <f t="shared" si="3"/>
        <v>17.5</v>
      </c>
      <c r="D250" s="80">
        <v>0.775816831683168</v>
      </c>
      <c r="E250" s="80">
        <v>0.265490099009901</v>
      </c>
      <c r="F250" s="81">
        <v>0.271742574257426</v>
      </c>
      <c r="G250" s="81">
        <v>0.25029702970297</v>
      </c>
    </row>
    <row r="251" spans="1:7">
      <c r="A251" s="78" t="s">
        <v>219</v>
      </c>
      <c r="B251" s="93">
        <v>24.2</v>
      </c>
      <c r="C251" s="79">
        <f t="shared" si="3"/>
        <v>20.2</v>
      </c>
      <c r="D251" s="80">
        <v>0.812871900826446</v>
      </c>
      <c r="E251" s="80">
        <v>0.287723140495868</v>
      </c>
      <c r="F251" s="81">
        <v>0.292942148760331</v>
      </c>
      <c r="G251" s="81">
        <v>0.27504132231405</v>
      </c>
    </row>
    <row r="252" spans="1:7">
      <c r="A252" s="78" t="s">
        <v>220</v>
      </c>
      <c r="B252" s="93">
        <v>34.2</v>
      </c>
      <c r="C252" s="79">
        <f t="shared" si="3"/>
        <v>24.2</v>
      </c>
      <c r="D252" s="80">
        <v>0.867587719298246</v>
      </c>
      <c r="E252" s="80">
        <v>0.320552631578947</v>
      </c>
      <c r="F252" s="81">
        <v>0.324245614035088</v>
      </c>
      <c r="G252" s="81">
        <v>0.311578947368421</v>
      </c>
    </row>
    <row r="253" spans="1:7">
      <c r="A253" s="78" t="s">
        <v>221</v>
      </c>
      <c r="B253" s="78">
        <v>66.8</v>
      </c>
      <c r="C253" s="79">
        <f t="shared" si="3"/>
        <v>34.2</v>
      </c>
      <c r="D253" s="80">
        <v>0.932208083832335</v>
      </c>
      <c r="E253" s="80">
        <v>0.359324850299401</v>
      </c>
      <c r="F253" s="81">
        <v>0.361215568862275</v>
      </c>
      <c r="G253" s="81">
        <v>0.354730538922156</v>
      </c>
    </row>
    <row r="254" spans="1:7">
      <c r="A254" s="78" t="s">
        <v>221</v>
      </c>
      <c r="B254" s="78" t="s">
        <v>398</v>
      </c>
      <c r="C254" s="79">
        <f t="shared" si="3"/>
        <v>66.8</v>
      </c>
      <c r="D254" s="117"/>
      <c r="E254" s="83"/>
      <c r="F254" s="84"/>
      <c r="G254" s="84"/>
    </row>
    <row r="255" spans="1:7">
      <c r="A255" s="78"/>
      <c r="B255" s="78">
        <v>5.4</v>
      </c>
      <c r="C255" s="78"/>
      <c r="D255" s="117"/>
      <c r="E255" s="85">
        <v>0.0812146950105857</v>
      </c>
      <c r="F255" s="86">
        <v>0.0873566364350777</v>
      </c>
      <c r="G255" s="86">
        <v>0.0683488568795871</v>
      </c>
    </row>
    <row r="256" ht="48" spans="1:7">
      <c r="A256" s="87" t="s">
        <v>233</v>
      </c>
      <c r="B256" s="78">
        <v>8.4</v>
      </c>
      <c r="C256" s="78"/>
      <c r="D256" s="117"/>
      <c r="E256" s="127">
        <v>7.5475</v>
      </c>
      <c r="F256" s="128">
        <v>7.19666666666667</v>
      </c>
      <c r="G256" s="129">
        <v>8.4</v>
      </c>
    </row>
    <row r="257" ht="48" spans="1:7">
      <c r="A257" s="87" t="s">
        <v>224</v>
      </c>
      <c r="B257" s="78">
        <v>9.2</v>
      </c>
      <c r="C257" s="78"/>
      <c r="D257" s="83"/>
      <c r="E257" s="83"/>
      <c r="F257" s="84"/>
      <c r="G257" s="84"/>
    </row>
    <row r="258" ht="84" spans="1:7">
      <c r="A258" s="106" t="s">
        <v>225</v>
      </c>
      <c r="B258" s="78">
        <v>5</v>
      </c>
      <c r="C258" s="78"/>
      <c r="D258" s="83"/>
      <c r="E258" s="83">
        <v>4.5285</v>
      </c>
      <c r="F258" s="84">
        <v>4.318</v>
      </c>
      <c r="G258" s="84">
        <v>5.04</v>
      </c>
    </row>
    <row r="261" spans="1:3">
      <c r="A261" s="531" t="s">
        <v>226</v>
      </c>
      <c r="B261" s="95">
        <f>AVERAGE(B209:B248)</f>
        <v>7.5475</v>
      </c>
      <c r="C261" s="95"/>
    </row>
    <row r="262" spans="1:3">
      <c r="A262" s="531" t="s">
        <v>227</v>
      </c>
      <c r="B262" s="96">
        <f>AVERAGE(B214:B243)</f>
        <v>7.19666666666667</v>
      </c>
      <c r="C262" s="96"/>
    </row>
    <row r="263" spans="1:3">
      <c r="A263" s="531" t="s">
        <v>228</v>
      </c>
      <c r="B263" s="96">
        <f>AVERAGE(B220:B238)</f>
        <v>7.12105263157895</v>
      </c>
      <c r="C263" s="96"/>
    </row>
    <row r="265" ht="15.75"/>
    <row r="266" customHeight="1" spans="1:7">
      <c r="A266" s="252" t="s">
        <v>165</v>
      </c>
      <c r="B266" s="268" t="s">
        <v>363</v>
      </c>
      <c r="C266" s="269"/>
      <c r="D266" s="270"/>
      <c r="E266" s="70">
        <f>(1-E321)^(1/3)-1</f>
        <v>-0.0282295308339714</v>
      </c>
      <c r="F266" s="70">
        <f>(1-F321)^(1/3)-1</f>
        <v>-0.0286793395537481</v>
      </c>
      <c r="G266" s="70"/>
    </row>
    <row r="267" ht="72.75" spans="1:7">
      <c r="A267" s="253"/>
      <c r="B267" s="83" t="s">
        <v>167</v>
      </c>
      <c r="C267" s="130"/>
      <c r="D267" s="83" t="s">
        <v>168</v>
      </c>
      <c r="E267" s="83" t="s">
        <v>169</v>
      </c>
      <c r="F267" s="84" t="s">
        <v>169</v>
      </c>
      <c r="G267" s="84"/>
    </row>
    <row r="268" ht="24.75" spans="1:7">
      <c r="A268" s="254"/>
      <c r="B268" s="257" t="s">
        <v>364</v>
      </c>
      <c r="D268" s="271" t="s">
        <v>171</v>
      </c>
      <c r="E268" s="271" t="s">
        <v>171</v>
      </c>
      <c r="F268" s="271" t="s">
        <v>171</v>
      </c>
      <c r="G268" s="271"/>
    </row>
    <row r="269" ht="15.75" spans="1:7">
      <c r="A269" s="75">
        <v>1</v>
      </c>
      <c r="B269" s="76">
        <v>2</v>
      </c>
      <c r="D269" s="76">
        <v>3</v>
      </c>
      <c r="E269" s="76">
        <v>4</v>
      </c>
      <c r="F269" s="77">
        <v>5</v>
      </c>
      <c r="G269" s="77"/>
    </row>
    <row r="270" ht="15.75" spans="1:7">
      <c r="A270" s="533" t="s">
        <v>172</v>
      </c>
      <c r="B270" s="272">
        <v>0.8</v>
      </c>
      <c r="C270">
        <v>0</v>
      </c>
      <c r="D270" s="80">
        <v>0</v>
      </c>
      <c r="E270" s="80">
        <v>0</v>
      </c>
      <c r="F270" s="81">
        <v>0</v>
      </c>
      <c r="G270" s="81">
        <v>0</v>
      </c>
    </row>
    <row r="271" ht="15.75" spans="1:7">
      <c r="A271" s="533" t="s">
        <v>173</v>
      </c>
      <c r="B271" s="74">
        <v>2</v>
      </c>
      <c r="C271" s="79">
        <f>B270</f>
        <v>0.8</v>
      </c>
      <c r="D271" s="80">
        <v>0</v>
      </c>
      <c r="E271" s="80">
        <v>0</v>
      </c>
      <c r="F271" s="81">
        <v>0</v>
      </c>
      <c r="G271" s="81">
        <v>0</v>
      </c>
    </row>
    <row r="272" ht="15.75" spans="1:7">
      <c r="A272" s="533" t="s">
        <v>174</v>
      </c>
      <c r="B272" s="74">
        <v>3.2</v>
      </c>
      <c r="C272" s="79">
        <f t="shared" ref="C272:C320" si="4">B271</f>
        <v>2</v>
      </c>
      <c r="D272" s="80">
        <v>0</v>
      </c>
      <c r="E272" s="80">
        <v>0</v>
      </c>
      <c r="F272" s="81">
        <v>0</v>
      </c>
      <c r="G272" s="81">
        <v>0</v>
      </c>
    </row>
    <row r="273" ht="15.75" spans="1:7">
      <c r="A273" s="533" t="s">
        <v>175</v>
      </c>
      <c r="B273" s="74">
        <v>4</v>
      </c>
      <c r="C273" s="79">
        <f t="shared" si="4"/>
        <v>3.2</v>
      </c>
      <c r="D273" s="80">
        <v>0</v>
      </c>
      <c r="E273" s="80">
        <v>0</v>
      </c>
      <c r="F273" s="81">
        <v>0</v>
      </c>
      <c r="G273" s="81">
        <v>0</v>
      </c>
    </row>
    <row r="274" ht="15.75" spans="1:7">
      <c r="A274" s="533" t="s">
        <v>176</v>
      </c>
      <c r="B274" s="74">
        <v>4.9</v>
      </c>
      <c r="C274" s="79">
        <f t="shared" si="4"/>
        <v>4</v>
      </c>
      <c r="D274" s="80">
        <v>0</v>
      </c>
      <c r="E274" s="80">
        <v>0</v>
      </c>
      <c r="F274" s="81">
        <v>0</v>
      </c>
      <c r="G274" s="81">
        <v>0</v>
      </c>
    </row>
    <row r="275" ht="15.75" spans="1:7">
      <c r="A275" s="533" t="s">
        <v>177</v>
      </c>
      <c r="B275" s="74">
        <v>6</v>
      </c>
      <c r="C275" s="79">
        <f t="shared" si="4"/>
        <v>4.9</v>
      </c>
      <c r="D275" s="80">
        <v>0</v>
      </c>
      <c r="E275" s="80">
        <v>0</v>
      </c>
      <c r="F275" s="81">
        <v>0</v>
      </c>
      <c r="G275" s="81">
        <v>0</v>
      </c>
    </row>
    <row r="276" ht="15.75" spans="1:7">
      <c r="A276" s="533" t="s">
        <v>178</v>
      </c>
      <c r="B276" s="74">
        <v>7.6</v>
      </c>
      <c r="C276" s="79">
        <f t="shared" si="4"/>
        <v>6</v>
      </c>
      <c r="D276" s="80">
        <v>0</v>
      </c>
      <c r="E276" s="80">
        <v>0</v>
      </c>
      <c r="F276" s="81">
        <v>0</v>
      </c>
      <c r="G276" s="81">
        <v>0</v>
      </c>
    </row>
    <row r="277" ht="15.75" spans="1:7">
      <c r="A277" s="257" t="s">
        <v>179</v>
      </c>
      <c r="B277" s="74">
        <v>9.6</v>
      </c>
      <c r="C277" s="79">
        <f t="shared" si="4"/>
        <v>7.6</v>
      </c>
      <c r="D277" s="80">
        <v>0</v>
      </c>
      <c r="E277" s="80">
        <v>0</v>
      </c>
      <c r="F277" s="81">
        <v>0</v>
      </c>
      <c r="G277" s="81">
        <v>0</v>
      </c>
    </row>
    <row r="278" ht="15.75" spans="1:7">
      <c r="A278" s="257" t="s">
        <v>180</v>
      </c>
      <c r="B278" s="74">
        <v>11.4</v>
      </c>
      <c r="C278" s="79">
        <f t="shared" si="4"/>
        <v>9.6</v>
      </c>
      <c r="D278" s="80">
        <v>0</v>
      </c>
      <c r="E278" s="80">
        <v>0</v>
      </c>
      <c r="F278" s="81">
        <v>0</v>
      </c>
      <c r="G278" s="81">
        <v>0</v>
      </c>
    </row>
    <row r="279" ht="15.75" spans="1:7">
      <c r="A279" s="257" t="s">
        <v>181</v>
      </c>
      <c r="B279" s="74">
        <v>12.8</v>
      </c>
      <c r="C279" s="79">
        <f t="shared" si="4"/>
        <v>11.4</v>
      </c>
      <c r="D279" s="80">
        <v>0</v>
      </c>
      <c r="E279" s="80">
        <v>0</v>
      </c>
      <c r="F279" s="81">
        <v>0</v>
      </c>
      <c r="G279" s="81">
        <v>0</v>
      </c>
    </row>
    <row r="280" ht="15.75" spans="1:7">
      <c r="A280" s="257" t="s">
        <v>182</v>
      </c>
      <c r="B280" s="74">
        <v>14.7</v>
      </c>
      <c r="C280" s="79">
        <f t="shared" si="4"/>
        <v>12.8</v>
      </c>
      <c r="D280" s="80">
        <v>0</v>
      </c>
      <c r="E280" s="80">
        <v>0</v>
      </c>
      <c r="F280" s="81">
        <v>0</v>
      </c>
      <c r="G280" s="81">
        <v>0</v>
      </c>
    </row>
    <row r="281" ht="15.75" spans="1:7">
      <c r="A281" s="257" t="s">
        <v>183</v>
      </c>
      <c r="B281" s="74">
        <v>17</v>
      </c>
      <c r="C281" s="79">
        <f t="shared" si="4"/>
        <v>14.7</v>
      </c>
      <c r="D281" s="80">
        <v>0</v>
      </c>
      <c r="E281" s="80">
        <v>0</v>
      </c>
      <c r="F281" s="81">
        <v>0</v>
      </c>
      <c r="G281" s="81">
        <v>0</v>
      </c>
    </row>
    <row r="282" ht="15.75" spans="1:7">
      <c r="A282" s="257" t="s">
        <v>184</v>
      </c>
      <c r="B282" s="74">
        <v>19</v>
      </c>
      <c r="C282" s="79">
        <f t="shared" si="4"/>
        <v>17</v>
      </c>
      <c r="D282" s="80">
        <v>0</v>
      </c>
      <c r="E282" s="80">
        <v>0</v>
      </c>
      <c r="F282" s="81">
        <v>0</v>
      </c>
      <c r="G282" s="81">
        <v>0</v>
      </c>
    </row>
    <row r="283" ht="15.75" spans="1:7">
      <c r="A283" s="257" t="s">
        <v>185</v>
      </c>
      <c r="B283" s="74">
        <v>21.3</v>
      </c>
      <c r="C283" s="79">
        <f t="shared" si="4"/>
        <v>19</v>
      </c>
      <c r="D283" s="80">
        <v>0.0445070422535213</v>
      </c>
      <c r="E283" s="80"/>
      <c r="F283" s="81">
        <v>0.00532394366197183</v>
      </c>
      <c r="G283" s="81">
        <v>0.00366197183098592</v>
      </c>
    </row>
    <row r="284" ht="15.75" spans="1:7">
      <c r="A284" s="257" t="s">
        <v>186</v>
      </c>
      <c r="B284" s="74">
        <v>22.3</v>
      </c>
      <c r="C284" s="79">
        <f t="shared" si="4"/>
        <v>21.3</v>
      </c>
      <c r="D284" s="80">
        <v>0.0873542600896863</v>
      </c>
      <c r="E284" s="80"/>
      <c r="F284" s="81">
        <v>0.0095695067264574</v>
      </c>
      <c r="G284" s="81">
        <v>0.00798206278026906</v>
      </c>
    </row>
    <row r="285" ht="15.75" spans="1:7">
      <c r="A285" s="257" t="s">
        <v>187</v>
      </c>
      <c r="B285" s="74">
        <v>24.4</v>
      </c>
      <c r="C285" s="79">
        <f t="shared" si="4"/>
        <v>22.3</v>
      </c>
      <c r="D285" s="80">
        <v>0.165901639344262</v>
      </c>
      <c r="E285" s="80">
        <v>0.0165901639344262</v>
      </c>
      <c r="F285" s="81">
        <v>0.0173524590163934</v>
      </c>
      <c r="G285" s="81">
        <v>0.0159016393442623</v>
      </c>
    </row>
    <row r="286" ht="15.75" spans="1:7">
      <c r="A286" s="257" t="s">
        <v>188</v>
      </c>
      <c r="B286" s="74">
        <v>25.5</v>
      </c>
      <c r="C286" s="79">
        <f t="shared" si="4"/>
        <v>24.4</v>
      </c>
      <c r="D286" s="80">
        <v>0.201882352941177</v>
      </c>
      <c r="E286" s="80">
        <v>0.0201882352941177</v>
      </c>
      <c r="F286" s="81">
        <v>0.0209176470588235</v>
      </c>
      <c r="G286" s="81">
        <v>0.0195294117647059</v>
      </c>
    </row>
    <row r="287" ht="15.75" spans="1:7">
      <c r="A287" s="257" t="s">
        <v>189</v>
      </c>
      <c r="B287" s="74">
        <v>26.4</v>
      </c>
      <c r="C287" s="79">
        <f t="shared" si="4"/>
        <v>25.5</v>
      </c>
      <c r="D287" s="80">
        <v>0.229090909090909</v>
      </c>
      <c r="E287" s="80">
        <v>0.0229090909090909</v>
      </c>
      <c r="F287" s="81">
        <v>0.0236136363636364</v>
      </c>
      <c r="G287" s="81">
        <v>0.0222727272727273</v>
      </c>
    </row>
    <row r="288" ht="15.75" spans="1:7">
      <c r="A288" s="257" t="s">
        <v>190</v>
      </c>
      <c r="B288" s="74">
        <v>27.5</v>
      </c>
      <c r="C288" s="79">
        <f t="shared" si="4"/>
        <v>26.4</v>
      </c>
      <c r="D288" s="80">
        <v>0.259927272727273</v>
      </c>
      <c r="E288" s="80">
        <v>0.0259927272727273</v>
      </c>
      <c r="F288" s="81">
        <v>0.0266690909090909</v>
      </c>
      <c r="G288" s="81">
        <v>0.0253818181818182</v>
      </c>
    </row>
    <row r="289" ht="15.75" spans="1:7">
      <c r="A289" s="257" t="s">
        <v>191</v>
      </c>
      <c r="B289" s="74">
        <v>28.4</v>
      </c>
      <c r="C289" s="79">
        <f t="shared" si="4"/>
        <v>27.5</v>
      </c>
      <c r="D289" s="80">
        <v>0.283380281690141</v>
      </c>
      <c r="E289" s="80">
        <v>0.0283380281690141</v>
      </c>
      <c r="F289" s="81">
        <v>0.0289929577464789</v>
      </c>
      <c r="G289" s="81">
        <v>0.0277464788732394</v>
      </c>
    </row>
    <row r="290" ht="15.75" spans="1:7">
      <c r="A290" s="257" t="s">
        <v>192</v>
      </c>
      <c r="B290" s="74">
        <v>29.1</v>
      </c>
      <c r="C290" s="79">
        <f t="shared" si="4"/>
        <v>28.4</v>
      </c>
      <c r="D290" s="80">
        <v>0.300618556701031</v>
      </c>
      <c r="E290" s="80">
        <v>0.0300618556701031</v>
      </c>
      <c r="F290" s="81">
        <v>0.0307010309278351</v>
      </c>
      <c r="G290" s="81">
        <v>0.0294845360824742</v>
      </c>
    </row>
    <row r="291" ht="15.75" spans="1:7">
      <c r="A291" s="257" t="s">
        <v>193</v>
      </c>
      <c r="B291" s="74">
        <v>29.9</v>
      </c>
      <c r="C291" s="79">
        <f t="shared" si="4"/>
        <v>29.1</v>
      </c>
      <c r="D291" s="80">
        <v>0.31933110367893</v>
      </c>
      <c r="E291" s="80">
        <v>0.031933110367893</v>
      </c>
      <c r="F291" s="81">
        <v>0.0325551839464883</v>
      </c>
      <c r="G291" s="81">
        <v>0.031371237458194</v>
      </c>
    </row>
    <row r="292" ht="15.75" spans="1:7">
      <c r="A292" s="257" t="s">
        <v>194</v>
      </c>
      <c r="B292" s="74">
        <v>31</v>
      </c>
      <c r="C292" s="79">
        <f t="shared" si="4"/>
        <v>29.9</v>
      </c>
      <c r="D292" s="80">
        <v>0.343483870967742</v>
      </c>
      <c r="E292" s="80">
        <v>0.0343483870967742</v>
      </c>
      <c r="F292" s="81">
        <v>0.0349483870967742</v>
      </c>
      <c r="G292" s="81">
        <v>0.0338064516129032</v>
      </c>
    </row>
    <row r="293" ht="15.75" spans="1:7">
      <c r="A293" s="257" t="s">
        <v>195</v>
      </c>
      <c r="B293" s="74">
        <v>31.9</v>
      </c>
      <c r="C293" s="79">
        <f t="shared" si="4"/>
        <v>31</v>
      </c>
      <c r="D293" s="80">
        <v>0.362006269592477</v>
      </c>
      <c r="E293" s="80">
        <v>0.0362006269592477</v>
      </c>
      <c r="F293" s="81">
        <v>0.0367836990595611</v>
      </c>
      <c r="G293" s="81">
        <v>0.0356739811912226</v>
      </c>
    </row>
    <row r="294" ht="15.75" spans="1:7">
      <c r="A294" s="257" t="s">
        <v>196</v>
      </c>
      <c r="B294" s="74">
        <v>33</v>
      </c>
      <c r="C294" s="79">
        <f t="shared" si="4"/>
        <v>31.9</v>
      </c>
      <c r="D294" s="80">
        <v>0.383272727272727</v>
      </c>
      <c r="E294" s="80">
        <v>0.0383272727272727</v>
      </c>
      <c r="F294" s="81">
        <v>0.0388909090909091</v>
      </c>
      <c r="G294" s="81">
        <v>0.0378181818181818</v>
      </c>
    </row>
    <row r="295" ht="15.75" spans="1:7">
      <c r="A295" s="257" t="s">
        <v>197</v>
      </c>
      <c r="B295" s="74">
        <v>33.8</v>
      </c>
      <c r="C295" s="79">
        <f t="shared" si="4"/>
        <v>33</v>
      </c>
      <c r="D295" s="80">
        <v>0.397869822485207</v>
      </c>
      <c r="E295" s="80">
        <v>0.0397869822485207</v>
      </c>
      <c r="F295" s="81">
        <v>0.0420236686390532</v>
      </c>
      <c r="G295" s="81">
        <v>0.0392899408284024</v>
      </c>
    </row>
    <row r="296" ht="15.75" spans="1:7">
      <c r="A296" s="257" t="s">
        <v>198</v>
      </c>
      <c r="B296" s="74">
        <v>34.6</v>
      </c>
      <c r="C296" s="79">
        <f t="shared" si="4"/>
        <v>33.8</v>
      </c>
      <c r="D296" s="80">
        <v>0.411791907514451</v>
      </c>
      <c r="E296" s="80">
        <v>0.0470751445086706</v>
      </c>
      <c r="F296" s="81">
        <v>0.0503005780346821</v>
      </c>
      <c r="G296" s="81">
        <v>0.0441618497109827</v>
      </c>
    </row>
    <row r="297" ht="15.75" spans="1:7">
      <c r="A297" s="257" t="s">
        <v>199</v>
      </c>
      <c r="B297" s="74">
        <v>35.6</v>
      </c>
      <c r="C297" s="79">
        <f t="shared" si="4"/>
        <v>34.6</v>
      </c>
      <c r="D297" s="80">
        <v>0.428314606741573</v>
      </c>
      <c r="E297" s="80">
        <v>0.0569887640449439</v>
      </c>
      <c r="F297" s="81">
        <v>0.060123595505618</v>
      </c>
      <c r="G297" s="81">
        <v>0.0541573033707865</v>
      </c>
    </row>
    <row r="298" ht="15.75" spans="1:7">
      <c r="A298" s="257" t="s">
        <v>200</v>
      </c>
      <c r="B298" s="74">
        <v>36.7</v>
      </c>
      <c r="C298" s="79">
        <f t="shared" si="4"/>
        <v>35.6</v>
      </c>
      <c r="D298" s="80">
        <v>0.445449591280654</v>
      </c>
      <c r="E298" s="80">
        <v>0.0672697547683925</v>
      </c>
      <c r="F298" s="81">
        <v>0.0703106267029973</v>
      </c>
      <c r="G298" s="81">
        <v>0.0645231607629428</v>
      </c>
    </row>
    <row r="299" ht="15.75" spans="1:7">
      <c r="A299" s="257" t="s">
        <v>201</v>
      </c>
      <c r="B299" s="74">
        <v>37.7</v>
      </c>
      <c r="C299" s="79">
        <f t="shared" si="4"/>
        <v>36.7</v>
      </c>
      <c r="D299" s="80">
        <v>0.460159151193634</v>
      </c>
      <c r="E299" s="80">
        <v>0.0760954907161804</v>
      </c>
      <c r="F299" s="81">
        <v>0.0790557029177719</v>
      </c>
      <c r="G299" s="81">
        <v>0.07342175066313</v>
      </c>
    </row>
    <row r="300" ht="15.75" spans="1:7">
      <c r="A300" s="257" t="s">
        <v>202</v>
      </c>
      <c r="B300" s="74">
        <v>38.8</v>
      </c>
      <c r="C300" s="79">
        <f t="shared" si="4"/>
        <v>37.7</v>
      </c>
      <c r="D300" s="80">
        <v>0.475463917525773</v>
      </c>
      <c r="E300" s="80">
        <v>0.0852783505154639</v>
      </c>
      <c r="F300" s="81">
        <v>0.0881546391752577</v>
      </c>
      <c r="G300" s="81">
        <v>0.082680412371134</v>
      </c>
    </row>
    <row r="301" ht="15.75" spans="1:7">
      <c r="A301" s="257" t="s">
        <v>203</v>
      </c>
      <c r="B301" s="74">
        <v>40.1</v>
      </c>
      <c r="C301" s="79">
        <f t="shared" si="4"/>
        <v>38.8</v>
      </c>
      <c r="D301" s="80">
        <v>0.492468827930175</v>
      </c>
      <c r="E301" s="80">
        <v>0.0954812967581048</v>
      </c>
      <c r="F301" s="81">
        <v>0.0982643391521197</v>
      </c>
      <c r="G301" s="81">
        <v>0.0929675810473815</v>
      </c>
    </row>
    <row r="302" ht="15.75" spans="1:7">
      <c r="A302" s="257" t="s">
        <v>204</v>
      </c>
      <c r="B302" s="74">
        <v>41.5</v>
      </c>
      <c r="C302" s="79">
        <f t="shared" si="4"/>
        <v>40.1</v>
      </c>
      <c r="D302" s="80">
        <v>0.509590361445783</v>
      </c>
      <c r="E302" s="80">
        <v>0.10575421686747</v>
      </c>
      <c r="F302" s="81">
        <v>0.108443373493976</v>
      </c>
      <c r="G302" s="81">
        <v>0.103325301204819</v>
      </c>
    </row>
    <row r="303" ht="15.75" spans="1:7">
      <c r="A303" s="257" t="s">
        <v>205</v>
      </c>
      <c r="B303" s="74">
        <v>42.8</v>
      </c>
      <c r="C303" s="79">
        <f t="shared" si="4"/>
        <v>41.5</v>
      </c>
      <c r="D303" s="80">
        <v>0.524485981308411</v>
      </c>
      <c r="E303" s="80">
        <v>0.114691588785047</v>
      </c>
      <c r="F303" s="81">
        <v>0.117299065420561</v>
      </c>
      <c r="G303" s="81">
        <v>0.112336448598131</v>
      </c>
    </row>
    <row r="304" ht="15.75" spans="1:7">
      <c r="A304" s="257" t="s">
        <v>206</v>
      </c>
      <c r="B304" s="74">
        <v>44.2</v>
      </c>
      <c r="C304" s="79">
        <f t="shared" si="4"/>
        <v>42.8</v>
      </c>
      <c r="D304" s="80">
        <v>0.539547511312217</v>
      </c>
      <c r="E304" s="80">
        <v>0.12372850678733</v>
      </c>
      <c r="F304" s="81">
        <v>0.126253393665158</v>
      </c>
      <c r="G304" s="81">
        <v>0.121447963800905</v>
      </c>
    </row>
    <row r="305" ht="15.75" spans="1:7">
      <c r="A305" s="257" t="s">
        <v>207</v>
      </c>
      <c r="B305" s="74">
        <v>45.3</v>
      </c>
      <c r="C305" s="79">
        <f t="shared" si="4"/>
        <v>44.2</v>
      </c>
      <c r="D305" s="80">
        <v>0.550728476821192</v>
      </c>
      <c r="E305" s="80">
        <v>0.130437086092715</v>
      </c>
      <c r="F305" s="81">
        <v>0.132900662251656</v>
      </c>
      <c r="G305" s="81">
        <v>0.128211920529801</v>
      </c>
    </row>
    <row r="306" ht="15.75" spans="1:7">
      <c r="A306" s="257" t="s">
        <v>208</v>
      </c>
      <c r="B306" s="74">
        <v>46.5</v>
      </c>
      <c r="C306" s="79">
        <f t="shared" si="4"/>
        <v>45.3</v>
      </c>
      <c r="D306" s="80">
        <v>0.562322580645161</v>
      </c>
      <c r="E306" s="80">
        <v>0.137393548387097</v>
      </c>
      <c r="F306" s="81">
        <v>0.139793548387097</v>
      </c>
      <c r="G306" s="81">
        <v>0.135225806451613</v>
      </c>
    </row>
    <row r="307" ht="15.75" spans="1:7">
      <c r="A307" s="257" t="s">
        <v>209</v>
      </c>
      <c r="B307" s="74">
        <v>47.9</v>
      </c>
      <c r="C307" s="79">
        <f t="shared" si="4"/>
        <v>46.5</v>
      </c>
      <c r="D307" s="80">
        <v>0.575114822546973</v>
      </c>
      <c r="E307" s="80">
        <v>0.145068893528184</v>
      </c>
      <c r="F307" s="81">
        <v>0.147398747390397</v>
      </c>
      <c r="G307" s="81">
        <v>0.142964509394572</v>
      </c>
    </row>
    <row r="308" ht="15.75" spans="1:7">
      <c r="A308" s="257" t="s">
        <v>210</v>
      </c>
      <c r="B308" s="74">
        <v>49.7</v>
      </c>
      <c r="C308" s="79">
        <f t="shared" si="4"/>
        <v>47.9</v>
      </c>
      <c r="D308" s="80">
        <v>0.590503018108652</v>
      </c>
      <c r="E308" s="80">
        <v>0.154301810865191</v>
      </c>
      <c r="F308" s="81">
        <v>0.156547283702213</v>
      </c>
      <c r="G308" s="81">
        <v>0.152273641851107</v>
      </c>
    </row>
    <row r="309" ht="15.75" spans="1:7">
      <c r="A309" s="257" t="s">
        <v>211</v>
      </c>
      <c r="B309" s="74">
        <v>51.7</v>
      </c>
      <c r="C309" s="79">
        <f t="shared" si="4"/>
        <v>49.7</v>
      </c>
      <c r="D309" s="80">
        <v>0.606344294003869</v>
      </c>
      <c r="E309" s="80">
        <v>0.163806576402321</v>
      </c>
      <c r="F309" s="81">
        <v>0.165965183752418</v>
      </c>
      <c r="G309" s="81">
        <v>0.161856866537718</v>
      </c>
    </row>
    <row r="310" ht="15.75" spans="1:7">
      <c r="A310" s="257" t="s">
        <v>212</v>
      </c>
      <c r="B310" s="74">
        <v>53.5</v>
      </c>
      <c r="C310" s="79">
        <f t="shared" si="4"/>
        <v>51.7</v>
      </c>
      <c r="D310" s="80">
        <v>0.619588785046729</v>
      </c>
      <c r="E310" s="80">
        <v>0.171753271028037</v>
      </c>
      <c r="F310" s="81">
        <v>0.173839252336449</v>
      </c>
      <c r="G310" s="81">
        <v>0.169869158878505</v>
      </c>
    </row>
    <row r="311" ht="15.75" spans="1:7">
      <c r="A311" s="257" t="s">
        <v>213</v>
      </c>
      <c r="B311" s="74">
        <v>56.1</v>
      </c>
      <c r="C311" s="79">
        <f t="shared" si="4"/>
        <v>53.5</v>
      </c>
      <c r="D311" s="80">
        <v>0.637219251336898</v>
      </c>
      <c r="E311" s="80">
        <v>0.182331550802139</v>
      </c>
      <c r="F311" s="81">
        <v>0.184320855614973</v>
      </c>
      <c r="G311" s="81">
        <v>0.180534759358289</v>
      </c>
    </row>
    <row r="312" ht="15.75" spans="1:7">
      <c r="A312" s="257" t="s">
        <v>214</v>
      </c>
      <c r="B312" s="74">
        <v>59.1</v>
      </c>
      <c r="C312" s="79">
        <f t="shared" si="4"/>
        <v>56.1</v>
      </c>
      <c r="D312" s="80">
        <v>0.655634517766498</v>
      </c>
      <c r="E312" s="80">
        <v>0.193380710659899</v>
      </c>
      <c r="F312" s="81">
        <v>0.195269035532995</v>
      </c>
      <c r="G312" s="81">
        <v>0.191675126903553</v>
      </c>
    </row>
    <row r="313" ht="15.75" spans="1:7">
      <c r="A313" s="257" t="s">
        <v>215</v>
      </c>
      <c r="B313" s="74">
        <v>63.3</v>
      </c>
      <c r="C313" s="79">
        <f t="shared" si="4"/>
        <v>59.1</v>
      </c>
      <c r="D313" s="80">
        <v>0.678483412322275</v>
      </c>
      <c r="E313" s="80">
        <v>0.207090047393365</v>
      </c>
      <c r="F313" s="81">
        <v>0.20885308056872</v>
      </c>
      <c r="G313" s="81">
        <v>0.205497630331754</v>
      </c>
    </row>
    <row r="314" ht="15.75" spans="1:7">
      <c r="A314" s="257" t="s">
        <v>216</v>
      </c>
      <c r="B314" s="74">
        <v>69.1</v>
      </c>
      <c r="C314" s="79">
        <f t="shared" si="4"/>
        <v>63.3</v>
      </c>
      <c r="D314" s="80">
        <v>0.705470332850941</v>
      </c>
      <c r="E314" s="80">
        <v>0.223282199710564</v>
      </c>
      <c r="F314" s="81">
        <v>0.224897250361795</v>
      </c>
      <c r="G314" s="81">
        <v>0.221823444283647</v>
      </c>
    </row>
    <row r="315" ht="15.75" spans="1:7">
      <c r="A315" s="257" t="s">
        <v>217</v>
      </c>
      <c r="B315" s="74">
        <v>73</v>
      </c>
      <c r="C315" s="79">
        <f t="shared" si="4"/>
        <v>69.1</v>
      </c>
      <c r="D315" s="80">
        <v>0.721205479452055</v>
      </c>
      <c r="E315" s="80">
        <v>0.232723287671233</v>
      </c>
      <c r="F315" s="81">
        <v>0.234252054794521</v>
      </c>
      <c r="G315" s="81">
        <v>0.231342465753425</v>
      </c>
    </row>
    <row r="316" ht="15.75" spans="1:7">
      <c r="A316" s="257" t="s">
        <v>218</v>
      </c>
      <c r="B316" s="74">
        <v>80</v>
      </c>
      <c r="C316" s="79">
        <f t="shared" si="4"/>
        <v>73</v>
      </c>
      <c r="D316" s="80">
        <v>0.7456</v>
      </c>
      <c r="E316" s="80">
        <v>0.24736</v>
      </c>
      <c r="F316" s="81">
        <v>0.248755</v>
      </c>
      <c r="G316" s="81">
        <v>0.2461</v>
      </c>
    </row>
    <row r="317" ht="15.75" spans="1:7">
      <c r="A317" s="257" t="s">
        <v>219</v>
      </c>
      <c r="B317" s="74">
        <v>86.5</v>
      </c>
      <c r="C317" s="79">
        <f t="shared" si="4"/>
        <v>80</v>
      </c>
      <c r="D317" s="80">
        <v>0.76471676300578</v>
      </c>
      <c r="E317" s="80">
        <v>0.258830057803468</v>
      </c>
      <c r="F317" s="81">
        <v>0.260120231213873</v>
      </c>
      <c r="G317" s="81">
        <v>0.257664739884393</v>
      </c>
    </row>
    <row r="318" ht="15.75" spans="1:7">
      <c r="A318" s="257" t="s">
        <v>220</v>
      </c>
      <c r="B318" s="74">
        <v>98.4</v>
      </c>
      <c r="C318" s="79">
        <f t="shared" si="4"/>
        <v>86.5</v>
      </c>
      <c r="D318" s="80">
        <v>0.793170731707317</v>
      </c>
      <c r="E318" s="80">
        <v>0.27590243902439</v>
      </c>
      <c r="F318" s="81">
        <v>0.277036585365854</v>
      </c>
      <c r="G318" s="81">
        <v>0.274878048780488</v>
      </c>
    </row>
    <row r="319" ht="15.75" spans="1:7">
      <c r="A319" s="257" t="s">
        <v>221</v>
      </c>
      <c r="B319" s="74">
        <v>103.6</v>
      </c>
      <c r="C319" s="79">
        <f t="shared" si="4"/>
        <v>98.4</v>
      </c>
      <c r="D319" s="80">
        <v>0.803552123552123</v>
      </c>
      <c r="E319" s="80">
        <v>0.282131274131274</v>
      </c>
      <c r="F319" s="81">
        <v>0.283208494208494</v>
      </c>
      <c r="G319" s="81">
        <v>0.281158301158301</v>
      </c>
    </row>
    <row r="320" ht="15.75" spans="1:7">
      <c r="A320" s="257" t="s">
        <v>221</v>
      </c>
      <c r="B320" s="257" t="s">
        <v>399</v>
      </c>
      <c r="C320" s="79">
        <f t="shared" si="4"/>
        <v>103.6</v>
      </c>
      <c r="D320" s="260"/>
      <c r="E320" s="72"/>
      <c r="F320" s="73"/>
      <c r="G320" s="84"/>
    </row>
    <row r="321" ht="15.75" spans="1:7">
      <c r="A321" s="257"/>
      <c r="B321" s="257">
        <v>36.8</v>
      </c>
      <c r="D321" s="116"/>
      <c r="E321" s="261">
        <v>0.0823203695626998</v>
      </c>
      <c r="F321" s="262">
        <v>0.0835940939958614</v>
      </c>
      <c r="G321" s="262">
        <v>0.0812003726133353</v>
      </c>
    </row>
    <row r="322" ht="48.75" spans="1:7">
      <c r="A322" s="256" t="s">
        <v>233</v>
      </c>
      <c r="B322" s="257">
        <v>34.2</v>
      </c>
      <c r="D322" s="116"/>
      <c r="E322" s="263">
        <v>33.92</v>
      </c>
      <c r="F322" s="264">
        <v>33.61</v>
      </c>
      <c r="G322" s="265">
        <v>34.2</v>
      </c>
    </row>
    <row r="323" ht="48.75" spans="1:7">
      <c r="A323" s="256" t="s">
        <v>224</v>
      </c>
      <c r="B323" s="116">
        <v>34.2</v>
      </c>
      <c r="D323" s="72"/>
      <c r="E323" s="72"/>
      <c r="F323" s="73"/>
      <c r="G323" s="73"/>
    </row>
    <row r="324" ht="84.75" spans="1:7">
      <c r="A324" s="266" t="s">
        <v>225</v>
      </c>
      <c r="B324" s="116">
        <v>20.5</v>
      </c>
      <c r="D324" s="72"/>
      <c r="E324" s="72">
        <v>20.352</v>
      </c>
      <c r="F324" s="73">
        <v>20.166</v>
      </c>
      <c r="G324" s="73">
        <v>20.52</v>
      </c>
    </row>
    <row r="327" spans="1:2">
      <c r="A327" s="531" t="s">
        <v>226</v>
      </c>
      <c r="B327" s="95">
        <f>AVERAGE(B275:B314)</f>
        <v>33.92</v>
      </c>
    </row>
    <row r="328" spans="1:2">
      <c r="A328" s="531" t="s">
        <v>227</v>
      </c>
      <c r="B328" s="96">
        <f>AVERAGE(B280:B309)</f>
        <v>33.61</v>
      </c>
    </row>
    <row r="329" spans="1:2">
      <c r="A329" s="531" t="s">
        <v>228</v>
      </c>
      <c r="B329" s="96">
        <f>AVERAGE(B286:B304)</f>
        <v>34.1315789473684</v>
      </c>
    </row>
    <row r="332" ht="15.75"/>
    <row r="333" customHeight="1" spans="1:7">
      <c r="A333" s="252" t="s">
        <v>165</v>
      </c>
      <c r="B333" s="268" t="s">
        <v>37</v>
      </c>
      <c r="C333" s="269"/>
      <c r="D333" s="270"/>
      <c r="E333" s="70">
        <f>(1-E388)^(1/3)-1</f>
        <v>-0.0269962824576108</v>
      </c>
      <c r="F333" s="70">
        <f>(1-F388)^(1/3)-1</f>
        <v>-0.0289229639688563</v>
      </c>
      <c r="G333" s="70"/>
    </row>
    <row r="334" ht="72.75" spans="1:7">
      <c r="A334" s="253"/>
      <c r="B334" s="254" t="s">
        <v>167</v>
      </c>
      <c r="D334" s="83" t="s">
        <v>168</v>
      </c>
      <c r="E334" s="83" t="s">
        <v>169</v>
      </c>
      <c r="F334" s="84" t="s">
        <v>169</v>
      </c>
      <c r="G334" s="84"/>
    </row>
    <row r="335" ht="24.75" spans="1:7">
      <c r="A335" s="254"/>
      <c r="B335" s="257" t="s">
        <v>365</v>
      </c>
      <c r="D335" s="271" t="s">
        <v>171</v>
      </c>
      <c r="E335" s="271" t="s">
        <v>171</v>
      </c>
      <c r="F335" s="271" t="s">
        <v>171</v>
      </c>
      <c r="G335" s="271"/>
    </row>
    <row r="336" ht="15.75" spans="1:7">
      <c r="A336" s="75">
        <v>1</v>
      </c>
      <c r="B336" s="76">
        <v>2</v>
      </c>
      <c r="C336" s="131"/>
      <c r="D336" s="76">
        <v>3</v>
      </c>
      <c r="E336" s="76">
        <v>4</v>
      </c>
      <c r="F336" s="77">
        <v>5</v>
      </c>
      <c r="G336" s="77"/>
    </row>
    <row r="337" ht="15.75" spans="1:7">
      <c r="A337" s="533" t="s">
        <v>172</v>
      </c>
      <c r="B337" s="272">
        <v>66.2</v>
      </c>
      <c r="C337">
        <v>0</v>
      </c>
      <c r="D337" s="80">
        <v>0</v>
      </c>
      <c r="E337" s="80">
        <v>0</v>
      </c>
      <c r="F337" s="81">
        <v>0</v>
      </c>
      <c r="G337" s="81">
        <v>0</v>
      </c>
    </row>
    <row r="338" ht="15.75" spans="1:7">
      <c r="A338" s="533" t="s">
        <v>173</v>
      </c>
      <c r="B338" s="74">
        <v>77.4</v>
      </c>
      <c r="C338" s="79">
        <f>B337</f>
        <v>66.2</v>
      </c>
      <c r="D338" s="80">
        <v>0</v>
      </c>
      <c r="E338" s="80">
        <v>0</v>
      </c>
      <c r="F338" s="81">
        <v>0</v>
      </c>
      <c r="G338" s="81">
        <v>0</v>
      </c>
    </row>
    <row r="339" ht="15.75" spans="1:7">
      <c r="A339" s="533" t="s">
        <v>174</v>
      </c>
      <c r="B339" s="74">
        <v>81.7</v>
      </c>
      <c r="C339" s="79">
        <f t="shared" ref="C339:C387" si="5">B338</f>
        <v>77.4</v>
      </c>
      <c r="D339" s="80">
        <v>0</v>
      </c>
      <c r="E339" s="80">
        <v>0</v>
      </c>
      <c r="F339" s="81">
        <v>0</v>
      </c>
      <c r="G339" s="81">
        <v>0</v>
      </c>
    </row>
    <row r="340" ht="15.75" spans="1:7">
      <c r="A340" s="533" t="s">
        <v>175</v>
      </c>
      <c r="B340" s="74">
        <v>84.2</v>
      </c>
      <c r="C340" s="79">
        <f t="shared" si="5"/>
        <v>81.7</v>
      </c>
      <c r="D340" s="80">
        <v>0</v>
      </c>
      <c r="E340" s="80">
        <v>0</v>
      </c>
      <c r="F340" s="81">
        <v>0</v>
      </c>
      <c r="G340" s="81">
        <v>0</v>
      </c>
    </row>
    <row r="341" ht="15.75" spans="1:7">
      <c r="A341" s="533" t="s">
        <v>176</v>
      </c>
      <c r="B341" s="74">
        <v>86.2</v>
      </c>
      <c r="C341" s="79">
        <f t="shared" si="5"/>
        <v>84.2</v>
      </c>
      <c r="D341" s="80">
        <v>0</v>
      </c>
      <c r="E341" s="80">
        <v>0</v>
      </c>
      <c r="F341" s="81">
        <v>0</v>
      </c>
      <c r="G341" s="81">
        <v>0</v>
      </c>
    </row>
    <row r="342" ht="15.75" spans="1:7">
      <c r="A342" s="533" t="s">
        <v>177</v>
      </c>
      <c r="B342" s="74">
        <v>89.6</v>
      </c>
      <c r="C342" s="79">
        <f t="shared" si="5"/>
        <v>86.2</v>
      </c>
      <c r="D342" s="80">
        <v>0</v>
      </c>
      <c r="E342" s="80">
        <v>0</v>
      </c>
      <c r="F342" s="81">
        <v>0</v>
      </c>
      <c r="G342" s="81">
        <v>0</v>
      </c>
    </row>
    <row r="343" ht="15.75" spans="1:7">
      <c r="A343" s="533" t="s">
        <v>178</v>
      </c>
      <c r="B343" s="74">
        <v>92.8</v>
      </c>
      <c r="C343" s="79">
        <f t="shared" si="5"/>
        <v>89.6</v>
      </c>
      <c r="D343" s="80">
        <v>0</v>
      </c>
      <c r="E343" s="80">
        <v>0</v>
      </c>
      <c r="F343" s="81">
        <v>0</v>
      </c>
      <c r="G343" s="81">
        <v>0</v>
      </c>
    </row>
    <row r="344" ht="15.75" spans="1:7">
      <c r="A344" s="257" t="s">
        <v>179</v>
      </c>
      <c r="B344" s="74">
        <v>95.9</v>
      </c>
      <c r="C344" s="79">
        <f t="shared" si="5"/>
        <v>92.8</v>
      </c>
      <c r="D344" s="80">
        <v>0</v>
      </c>
      <c r="E344" s="80">
        <v>0</v>
      </c>
      <c r="F344" s="81">
        <v>0</v>
      </c>
      <c r="G344" s="81">
        <v>0</v>
      </c>
    </row>
    <row r="345" ht="15.75" spans="1:7">
      <c r="A345" s="257" t="s">
        <v>180</v>
      </c>
      <c r="B345" s="74">
        <v>99.9</v>
      </c>
      <c r="C345" s="79">
        <f t="shared" si="5"/>
        <v>95.9</v>
      </c>
      <c r="D345" s="80">
        <v>0</v>
      </c>
      <c r="E345" s="80">
        <v>0</v>
      </c>
      <c r="F345" s="81">
        <v>0</v>
      </c>
      <c r="G345" s="81">
        <v>0</v>
      </c>
    </row>
    <row r="346" ht="15.75" spans="1:7">
      <c r="A346" s="257" t="s">
        <v>181</v>
      </c>
      <c r="B346" s="74">
        <v>104.5</v>
      </c>
      <c r="C346" s="79">
        <f t="shared" si="5"/>
        <v>99.9</v>
      </c>
      <c r="D346" s="80">
        <v>0</v>
      </c>
      <c r="E346" s="80">
        <v>0</v>
      </c>
      <c r="F346" s="81">
        <v>0</v>
      </c>
      <c r="G346" s="81">
        <v>0</v>
      </c>
    </row>
    <row r="347" ht="15.75" spans="1:7">
      <c r="A347" s="257" t="s">
        <v>182</v>
      </c>
      <c r="B347" s="74">
        <v>109.2</v>
      </c>
      <c r="C347" s="79">
        <f t="shared" si="5"/>
        <v>104.5</v>
      </c>
      <c r="D347" s="80">
        <v>0</v>
      </c>
      <c r="E347" s="80">
        <v>0</v>
      </c>
      <c r="F347" s="81">
        <v>0</v>
      </c>
      <c r="G347" s="81">
        <v>0</v>
      </c>
    </row>
    <row r="348" ht="15.75" spans="1:7">
      <c r="A348" s="257" t="s">
        <v>183</v>
      </c>
      <c r="B348" s="74">
        <v>115.1</v>
      </c>
      <c r="C348" s="79">
        <f t="shared" si="5"/>
        <v>109.2</v>
      </c>
      <c r="D348" s="80">
        <v>0</v>
      </c>
      <c r="E348" s="80">
        <v>0</v>
      </c>
      <c r="F348" s="81">
        <v>0.00207298001737617</v>
      </c>
      <c r="G348" s="81">
        <v>0</v>
      </c>
    </row>
    <row r="349" ht="15.75" spans="1:7">
      <c r="A349" s="257" t="s">
        <v>184</v>
      </c>
      <c r="B349" s="74">
        <v>123.5</v>
      </c>
      <c r="C349" s="79">
        <f t="shared" si="5"/>
        <v>115.1</v>
      </c>
      <c r="D349" s="80">
        <v>0.0481497975708501</v>
      </c>
      <c r="E349" s="80"/>
      <c r="F349" s="81">
        <v>0.00873360323886638</v>
      </c>
      <c r="G349" s="81">
        <v>0</v>
      </c>
    </row>
    <row r="350" ht="15.75" spans="1:7">
      <c r="A350" s="257" t="s">
        <v>185</v>
      </c>
      <c r="B350" s="74">
        <v>131</v>
      </c>
      <c r="C350" s="79">
        <f t="shared" si="5"/>
        <v>123.5</v>
      </c>
      <c r="D350" s="80">
        <v>0.102645038167939</v>
      </c>
      <c r="E350" s="80">
        <v>0.0102645038167939</v>
      </c>
      <c r="F350" s="81">
        <v>0.0139587786259542</v>
      </c>
      <c r="G350" s="81">
        <v>0</v>
      </c>
    </row>
    <row r="351" ht="15.75" spans="1:7">
      <c r="A351" s="257" t="s">
        <v>186</v>
      </c>
      <c r="B351" s="74">
        <v>136.7</v>
      </c>
      <c r="C351" s="79">
        <f t="shared" si="5"/>
        <v>131</v>
      </c>
      <c r="D351" s="80">
        <v>0.140062179956108</v>
      </c>
      <c r="E351" s="80">
        <v>0.0140062179956108</v>
      </c>
      <c r="F351" s="81">
        <v>0.0175464520848573</v>
      </c>
      <c r="G351" s="81">
        <v>0.00168251645940013</v>
      </c>
    </row>
    <row r="352" ht="15.75" spans="1:7">
      <c r="A352" s="257" t="s">
        <v>187</v>
      </c>
      <c r="B352" s="74">
        <v>141.5</v>
      </c>
      <c r="C352" s="79">
        <f t="shared" si="5"/>
        <v>136.7</v>
      </c>
      <c r="D352" s="80">
        <v>0.169233215547703</v>
      </c>
      <c r="E352" s="80">
        <v>0.0169233215547703</v>
      </c>
      <c r="F352" s="81">
        <v>0.0203434628975265</v>
      </c>
      <c r="G352" s="81">
        <v>0.00501766784452296</v>
      </c>
    </row>
    <row r="353" ht="15.75" spans="1:7">
      <c r="A353" s="257" t="s">
        <v>188</v>
      </c>
      <c r="B353" s="74">
        <v>146.5</v>
      </c>
      <c r="C353" s="79">
        <f t="shared" si="5"/>
        <v>141.5</v>
      </c>
      <c r="D353" s="80">
        <v>0.197587030716723</v>
      </c>
      <c r="E353" s="80">
        <v>0.0197587030716723</v>
      </c>
      <c r="F353" s="81">
        <v>0.0230621160409556</v>
      </c>
      <c r="G353" s="81">
        <v>0.00825938566552901</v>
      </c>
    </row>
    <row r="354" ht="15.75" spans="1:7">
      <c r="A354" s="257" t="s">
        <v>189</v>
      </c>
      <c r="B354" s="74">
        <v>149.5</v>
      </c>
      <c r="C354" s="79">
        <f t="shared" si="5"/>
        <v>146.5</v>
      </c>
      <c r="D354" s="80">
        <v>0.213688963210702</v>
      </c>
      <c r="E354" s="80">
        <v>0.0213688963210702</v>
      </c>
      <c r="F354" s="81">
        <v>0.0246060200668896</v>
      </c>
      <c r="G354" s="81">
        <v>0.0101003344481605</v>
      </c>
    </row>
    <row r="355" ht="15.75" spans="1:7">
      <c r="A355" s="257" t="s">
        <v>190</v>
      </c>
      <c r="B355" s="74">
        <v>153.4</v>
      </c>
      <c r="C355" s="79">
        <f t="shared" si="5"/>
        <v>149.5</v>
      </c>
      <c r="D355" s="80">
        <v>0.233679921773142</v>
      </c>
      <c r="E355" s="80">
        <v>0.0233679921773142</v>
      </c>
      <c r="F355" s="81">
        <v>0.026522816166884</v>
      </c>
      <c r="G355" s="81">
        <v>0.0123859191655802</v>
      </c>
    </row>
    <row r="356" ht="15.75" spans="1:7">
      <c r="A356" s="257" t="s">
        <v>191</v>
      </c>
      <c r="B356" s="74">
        <v>157.1</v>
      </c>
      <c r="C356" s="79">
        <f t="shared" si="5"/>
        <v>153.4</v>
      </c>
      <c r="D356" s="80">
        <v>0.251728198599618</v>
      </c>
      <c r="E356" s="80">
        <v>0.0251728198599618</v>
      </c>
      <c r="F356" s="81">
        <v>0.0282533418204965</v>
      </c>
      <c r="G356" s="81">
        <v>0.0144493952896244</v>
      </c>
    </row>
    <row r="357" ht="15.75" spans="1:7">
      <c r="A357" s="257" t="s">
        <v>192</v>
      </c>
      <c r="B357" s="74">
        <v>161.2</v>
      </c>
      <c r="C357" s="79">
        <f t="shared" si="5"/>
        <v>157.1</v>
      </c>
      <c r="D357" s="80">
        <v>0.270759925558313</v>
      </c>
      <c r="E357" s="80">
        <v>0.0270759925558313</v>
      </c>
      <c r="F357" s="81">
        <v>0.0300781637717121</v>
      </c>
      <c r="G357" s="81">
        <v>0.0166253101736973</v>
      </c>
    </row>
    <row r="358" ht="15.75" spans="1:7">
      <c r="A358" s="257" t="s">
        <v>193</v>
      </c>
      <c r="B358" s="74">
        <v>165.8</v>
      </c>
      <c r="C358" s="79">
        <f t="shared" si="5"/>
        <v>161.2</v>
      </c>
      <c r="D358" s="80">
        <v>0.290992159227985</v>
      </c>
      <c r="E358" s="80">
        <v>0.0290992159227986</v>
      </c>
      <c r="F358" s="81">
        <v>0.0320180940892642</v>
      </c>
      <c r="G358" s="81">
        <v>0.0189384800965018</v>
      </c>
    </row>
    <row r="359" ht="15.75" spans="1:7">
      <c r="A359" s="257" t="s">
        <v>194</v>
      </c>
      <c r="B359" s="74">
        <v>170.4</v>
      </c>
      <c r="C359" s="79">
        <f t="shared" si="5"/>
        <v>165.8</v>
      </c>
      <c r="D359" s="80">
        <v>0.310132042253521</v>
      </c>
      <c r="E359" s="80">
        <v>0.0310132042253521</v>
      </c>
      <c r="F359" s="81">
        <v>0.0338532863849765</v>
      </c>
      <c r="G359" s="81">
        <v>0.0211267605633803</v>
      </c>
    </row>
    <row r="360" ht="15.75" spans="1:7">
      <c r="A360" s="257" t="s">
        <v>195</v>
      </c>
      <c r="B360" s="74">
        <v>175</v>
      </c>
      <c r="C360" s="79">
        <f t="shared" si="5"/>
        <v>170.4</v>
      </c>
      <c r="D360" s="80">
        <v>0.328265714285714</v>
      </c>
      <c r="E360" s="80">
        <v>0.0328265714285714</v>
      </c>
      <c r="F360" s="81">
        <v>0.035592</v>
      </c>
      <c r="G360" s="81">
        <v>0.0232</v>
      </c>
    </row>
    <row r="361" ht="15.75" spans="1:7">
      <c r="A361" s="257" t="s">
        <v>196</v>
      </c>
      <c r="B361" s="74">
        <v>179.8</v>
      </c>
      <c r="C361" s="79">
        <f t="shared" si="5"/>
        <v>175</v>
      </c>
      <c r="D361" s="80">
        <v>0.346198553948832</v>
      </c>
      <c r="E361" s="80">
        <v>0.0346198553948832</v>
      </c>
      <c r="F361" s="81">
        <v>0.0373114571746385</v>
      </c>
      <c r="G361" s="81">
        <v>0.0252502780867631</v>
      </c>
    </row>
    <row r="362" ht="15.75" spans="1:7">
      <c r="A362" s="257" t="s">
        <v>197</v>
      </c>
      <c r="B362" s="74">
        <v>183</v>
      </c>
      <c r="C362" s="79">
        <f t="shared" si="5"/>
        <v>179.8</v>
      </c>
      <c r="D362" s="80">
        <v>0.357631147540984</v>
      </c>
      <c r="E362" s="80">
        <v>0.0357631147540984</v>
      </c>
      <c r="F362" s="81">
        <v>0.038407650273224</v>
      </c>
      <c r="G362" s="81">
        <v>0.0265573770491803</v>
      </c>
    </row>
    <row r="363" ht="15.75" spans="1:7">
      <c r="A363" s="257" t="s">
        <v>198</v>
      </c>
      <c r="B363" s="74">
        <v>186.4</v>
      </c>
      <c r="C363" s="79">
        <f t="shared" si="5"/>
        <v>183</v>
      </c>
      <c r="D363" s="80">
        <v>0.369348175965665</v>
      </c>
      <c r="E363" s="80">
        <v>0.0369348175965665</v>
      </c>
      <c r="F363" s="81">
        <v>0.0395311158798283</v>
      </c>
      <c r="G363" s="81">
        <v>0.0278969957081545</v>
      </c>
    </row>
    <row r="364" ht="15.75" spans="1:7">
      <c r="A364" s="257" t="s">
        <v>199</v>
      </c>
      <c r="B364" s="74">
        <v>191.1</v>
      </c>
      <c r="C364" s="79">
        <f t="shared" si="5"/>
        <v>186.4</v>
      </c>
      <c r="D364" s="80">
        <v>0.384858712715855</v>
      </c>
      <c r="E364" s="80">
        <v>0.0384858712715856</v>
      </c>
      <c r="F364" s="81">
        <v>0.04610989010989</v>
      </c>
      <c r="G364" s="81">
        <v>0.0296703296703297</v>
      </c>
    </row>
    <row r="365" ht="15.75" spans="1:7">
      <c r="A365" s="257" t="s">
        <v>200</v>
      </c>
      <c r="B365" s="74">
        <v>198.4</v>
      </c>
      <c r="C365" s="79">
        <f t="shared" si="5"/>
        <v>191.1</v>
      </c>
      <c r="D365" s="80">
        <v>0.407492439516129</v>
      </c>
      <c r="E365" s="80">
        <v>0.0444954637096774</v>
      </c>
      <c r="F365" s="81">
        <v>0.0591310483870967</v>
      </c>
      <c r="G365" s="81">
        <v>0.032258064516129</v>
      </c>
    </row>
    <row r="366" ht="15.75" spans="1:7">
      <c r="A366" s="257" t="s">
        <v>201</v>
      </c>
      <c r="B366" s="74">
        <v>204.4</v>
      </c>
      <c r="C366" s="79">
        <f t="shared" si="5"/>
        <v>198.4</v>
      </c>
      <c r="D366" s="80">
        <v>0.424885029354207</v>
      </c>
      <c r="E366" s="80">
        <v>0.0549310176125244</v>
      </c>
      <c r="F366" s="81">
        <v>0.0691369863013698</v>
      </c>
      <c r="G366" s="81">
        <v>0.0342465753424658</v>
      </c>
    </row>
    <row r="367" ht="15.75" spans="1:7">
      <c r="A367" s="257" t="s">
        <v>202</v>
      </c>
      <c r="B367" s="74">
        <v>209.8</v>
      </c>
      <c r="C367" s="79">
        <f t="shared" si="5"/>
        <v>204.4</v>
      </c>
      <c r="D367" s="80">
        <v>0.439687797902765</v>
      </c>
      <c r="E367" s="80">
        <v>0.0638126787416587</v>
      </c>
      <c r="F367" s="81">
        <v>0.0776530028598665</v>
      </c>
      <c r="G367" s="81">
        <v>0.0359389895138227</v>
      </c>
    </row>
    <row r="368" ht="15.75" spans="1:7">
      <c r="A368" s="257" t="s">
        <v>203</v>
      </c>
      <c r="B368" s="74">
        <v>214.5</v>
      </c>
      <c r="C368" s="79">
        <f t="shared" si="5"/>
        <v>209.8</v>
      </c>
      <c r="D368" s="80">
        <v>0.451965034965035</v>
      </c>
      <c r="E368" s="80">
        <v>0.0711790209790209</v>
      </c>
      <c r="F368" s="81">
        <v>0.0847160839160838</v>
      </c>
      <c r="G368" s="81">
        <v>0.0373426573426573</v>
      </c>
    </row>
    <row r="369" ht="15.75" spans="1:7">
      <c r="A369" s="257" t="s">
        <v>204</v>
      </c>
      <c r="B369" s="74">
        <v>219.4</v>
      </c>
      <c r="C369" s="79">
        <f t="shared" si="5"/>
        <v>214.5</v>
      </c>
      <c r="D369" s="80">
        <v>0.464204649042844</v>
      </c>
      <c r="E369" s="80">
        <v>0.0785227894257064</v>
      </c>
      <c r="F369" s="81">
        <v>0.0917575205104831</v>
      </c>
      <c r="G369" s="81">
        <v>0.0387420237010027</v>
      </c>
    </row>
    <row r="370" ht="15.75" spans="1:7">
      <c r="A370" s="257" t="s">
        <v>205</v>
      </c>
      <c r="B370" s="74">
        <v>229.1</v>
      </c>
      <c r="C370" s="79">
        <f t="shared" si="5"/>
        <v>219.4</v>
      </c>
      <c r="D370" s="80">
        <v>0.486890004364906</v>
      </c>
      <c r="E370" s="80">
        <v>0.0921340026189436</v>
      </c>
      <c r="F370" s="81">
        <v>0.104808380619817</v>
      </c>
      <c r="G370" s="81">
        <v>0.0480139676996944</v>
      </c>
    </row>
    <row r="371" ht="15.75" spans="1:7">
      <c r="A371" s="257" t="s">
        <v>206</v>
      </c>
      <c r="B371" s="74">
        <v>238</v>
      </c>
      <c r="C371" s="79">
        <f t="shared" si="5"/>
        <v>229.1</v>
      </c>
      <c r="D371" s="80">
        <v>0.506077731092437</v>
      </c>
      <c r="E371" s="80">
        <v>0.103646638655462</v>
      </c>
      <c r="F371" s="81">
        <v>0.115847058823529</v>
      </c>
      <c r="G371" s="81">
        <v>0.0611764705882353</v>
      </c>
    </row>
    <row r="372" ht="15.75" spans="1:7">
      <c r="A372" s="257" t="s">
        <v>207</v>
      </c>
      <c r="B372" s="74">
        <v>246.3</v>
      </c>
      <c r="C372" s="79">
        <f t="shared" si="5"/>
        <v>238</v>
      </c>
      <c r="D372" s="80">
        <v>0.522722289890378</v>
      </c>
      <c r="E372" s="80">
        <v>0.113633373934227</v>
      </c>
      <c r="F372" s="81">
        <v>0.125422655298417</v>
      </c>
      <c r="G372" s="81">
        <v>0.0725943970767357</v>
      </c>
    </row>
    <row r="373" ht="15.75" spans="1:7">
      <c r="A373" s="257" t="s">
        <v>208</v>
      </c>
      <c r="B373" s="74">
        <v>255.3</v>
      </c>
      <c r="C373" s="79">
        <f t="shared" si="5"/>
        <v>246.3</v>
      </c>
      <c r="D373" s="80">
        <v>0.53954759106933</v>
      </c>
      <c r="E373" s="80">
        <v>0.123728554641598</v>
      </c>
      <c r="F373" s="81">
        <v>0.13510223266745</v>
      </c>
      <c r="G373" s="81">
        <v>0.0841363102232668</v>
      </c>
    </row>
    <row r="374" ht="15.75" spans="1:7">
      <c r="A374" s="257" t="s">
        <v>209</v>
      </c>
      <c r="B374" s="74">
        <v>266.6</v>
      </c>
      <c r="C374" s="79">
        <f t="shared" si="5"/>
        <v>255.3</v>
      </c>
      <c r="D374" s="80">
        <v>0.559064141035259</v>
      </c>
      <c r="E374" s="80">
        <v>0.135438484621155</v>
      </c>
      <c r="F374" s="81">
        <v>0.14633008252063</v>
      </c>
      <c r="G374" s="81">
        <v>0.0975243810952738</v>
      </c>
    </row>
    <row r="375" ht="15.75" spans="1:7">
      <c r="A375" s="257" t="s">
        <v>210</v>
      </c>
      <c r="B375" s="74">
        <v>281.8</v>
      </c>
      <c r="C375" s="79">
        <f t="shared" si="5"/>
        <v>266.6</v>
      </c>
      <c r="D375" s="80">
        <v>0.582847764371895</v>
      </c>
      <c r="E375" s="80">
        <v>0.149708658623137</v>
      </c>
      <c r="F375" s="81">
        <v>0.160012775017743</v>
      </c>
      <c r="G375" s="81">
        <v>0.113839602555004</v>
      </c>
    </row>
    <row r="376" ht="15.75" spans="1:7">
      <c r="A376" s="257" t="s">
        <v>211</v>
      </c>
      <c r="B376" s="74">
        <v>295.9</v>
      </c>
      <c r="C376" s="79">
        <f t="shared" si="5"/>
        <v>281.8</v>
      </c>
      <c r="D376" s="80">
        <v>0.602725582967219</v>
      </c>
      <c r="E376" s="80">
        <v>0.161635349780331</v>
      </c>
      <c r="F376" s="81">
        <v>0.171448462318351</v>
      </c>
      <c r="G376" s="81">
        <v>0.127475498479216</v>
      </c>
    </row>
    <row r="377" ht="15.75" spans="1:7">
      <c r="A377" s="257" t="s">
        <v>212</v>
      </c>
      <c r="B377" s="74">
        <v>311.9</v>
      </c>
      <c r="C377" s="79">
        <f t="shared" si="5"/>
        <v>295.9</v>
      </c>
      <c r="D377" s="80">
        <v>0.623105161910869</v>
      </c>
      <c r="E377" s="80">
        <v>0.173863097146521</v>
      </c>
      <c r="F377" s="81">
        <v>0.183172811798653</v>
      </c>
      <c r="G377" s="81">
        <v>0.141455594741904</v>
      </c>
    </row>
    <row r="378" ht="15.75" spans="1:7">
      <c r="A378" s="257" t="s">
        <v>213</v>
      </c>
      <c r="B378" s="74">
        <v>328.7</v>
      </c>
      <c r="C378" s="79">
        <f t="shared" si="5"/>
        <v>311.9</v>
      </c>
      <c r="D378" s="80">
        <v>0.642368421052631</v>
      </c>
      <c r="E378" s="80">
        <v>0.185421052631579</v>
      </c>
      <c r="F378" s="81">
        <v>0.194254943717676</v>
      </c>
      <c r="G378" s="81">
        <v>0.154669911773654</v>
      </c>
    </row>
    <row r="379" ht="15.75" spans="1:7">
      <c r="A379" s="257" t="s">
        <v>214</v>
      </c>
      <c r="B379" s="74">
        <v>341.6</v>
      </c>
      <c r="C379" s="79">
        <f t="shared" si="5"/>
        <v>328.7</v>
      </c>
      <c r="D379" s="80">
        <v>0.655873829039813</v>
      </c>
      <c r="E379" s="80">
        <v>0.193524297423888</v>
      </c>
      <c r="F379" s="81">
        <v>0.202024590163934</v>
      </c>
      <c r="G379" s="81">
        <v>0.163934426229508</v>
      </c>
    </row>
    <row r="380" ht="15.75" spans="1:7">
      <c r="A380" s="257" t="s">
        <v>215</v>
      </c>
      <c r="B380" s="74">
        <v>359.3</v>
      </c>
      <c r="C380" s="79">
        <f t="shared" si="5"/>
        <v>341.6</v>
      </c>
      <c r="D380" s="80">
        <v>0.672826328973003</v>
      </c>
      <c r="E380" s="80">
        <v>0.203695797383802</v>
      </c>
      <c r="F380" s="81">
        <v>0.211777344837183</v>
      </c>
      <c r="G380" s="81">
        <v>0.175563595880879</v>
      </c>
    </row>
    <row r="381" ht="15.75" spans="1:7">
      <c r="A381" s="257" t="s">
        <v>216</v>
      </c>
      <c r="B381" s="74">
        <v>377</v>
      </c>
      <c r="C381" s="79">
        <f t="shared" si="5"/>
        <v>359.3</v>
      </c>
      <c r="D381" s="80">
        <v>0.68818700265252</v>
      </c>
      <c r="E381" s="80">
        <v>0.212912201591512</v>
      </c>
      <c r="F381" s="81">
        <v>0.220614323607427</v>
      </c>
      <c r="G381" s="81">
        <v>0.186100795755968</v>
      </c>
    </row>
    <row r="382" ht="15.75" spans="1:7">
      <c r="A382" s="257" t="s">
        <v>217</v>
      </c>
      <c r="B382" s="74">
        <v>413.7</v>
      </c>
      <c r="C382" s="79">
        <f t="shared" si="5"/>
        <v>377</v>
      </c>
      <c r="D382" s="80">
        <v>0.715848440899202</v>
      </c>
      <c r="E382" s="80">
        <v>0.229509064539521</v>
      </c>
      <c r="F382" s="81">
        <v>0.236527918781726</v>
      </c>
      <c r="G382" s="81">
        <v>0.20507614213198</v>
      </c>
    </row>
    <row r="383" ht="15.75" spans="1:7">
      <c r="A383" s="257" t="s">
        <v>218</v>
      </c>
      <c r="B383" s="74">
        <v>481.8</v>
      </c>
      <c r="C383" s="79">
        <f t="shared" si="5"/>
        <v>413.7</v>
      </c>
      <c r="D383" s="80">
        <v>0.756011830635118</v>
      </c>
      <c r="E383" s="80">
        <v>0.253607098381071</v>
      </c>
      <c r="F383" s="81">
        <v>0.259633872976339</v>
      </c>
      <c r="G383" s="81">
        <v>0.232627646326276</v>
      </c>
    </row>
    <row r="384" ht="15.75" spans="1:7">
      <c r="A384" s="257" t="s">
        <v>219</v>
      </c>
      <c r="B384" s="74">
        <v>559.1</v>
      </c>
      <c r="C384" s="79">
        <f t="shared" si="5"/>
        <v>481.8</v>
      </c>
      <c r="D384" s="80">
        <v>0.789745126095511</v>
      </c>
      <c r="E384" s="80">
        <v>0.273847075657306</v>
      </c>
      <c r="F384" s="81">
        <v>0.279040600965838</v>
      </c>
      <c r="G384" s="81">
        <v>0.255768198891075</v>
      </c>
    </row>
    <row r="385" ht="15.75" spans="1:7">
      <c r="A385" s="257" t="s">
        <v>220</v>
      </c>
      <c r="B385" s="74">
        <v>681.2</v>
      </c>
      <c r="C385" s="79">
        <f t="shared" si="5"/>
        <v>559.1</v>
      </c>
      <c r="D385" s="80">
        <v>0.827431738109219</v>
      </c>
      <c r="E385" s="80">
        <v>0.296459042865531</v>
      </c>
      <c r="F385" s="81">
        <v>0.300721667645332</v>
      </c>
      <c r="G385" s="81">
        <v>0.281620669406929</v>
      </c>
    </row>
    <row r="386" ht="15.75" spans="1:7">
      <c r="A386" s="257" t="s">
        <v>221</v>
      </c>
      <c r="B386" s="259">
        <v>926.9</v>
      </c>
      <c r="C386" s="79">
        <f t="shared" si="5"/>
        <v>681.2</v>
      </c>
      <c r="D386" s="80">
        <v>0.873175639227533</v>
      </c>
      <c r="E386" s="80">
        <v>0.32390538353652</v>
      </c>
      <c r="F386" s="81">
        <v>0.3270380839357</v>
      </c>
      <c r="G386" s="81">
        <v>0.31300032365951</v>
      </c>
    </row>
    <row r="387" ht="15.75" spans="1:7">
      <c r="A387" s="257" t="s">
        <v>221</v>
      </c>
      <c r="B387" s="257" t="s">
        <v>400</v>
      </c>
      <c r="C387" s="79">
        <f t="shared" si="5"/>
        <v>926.9</v>
      </c>
      <c r="D387" s="260" t="s">
        <v>124</v>
      </c>
      <c r="E387" s="72"/>
      <c r="F387" s="73"/>
      <c r="G387" s="84"/>
    </row>
    <row r="388" ht="15.75" spans="1:7">
      <c r="A388" s="257"/>
      <c r="B388" s="257">
        <v>189.2</v>
      </c>
      <c r="D388" s="116" t="s">
        <v>124</v>
      </c>
      <c r="E388" s="261">
        <v>0.0788221244440932</v>
      </c>
      <c r="F388" s="262">
        <v>0.0842834735262797</v>
      </c>
      <c r="G388" s="262">
        <v>0.0626853398630402</v>
      </c>
    </row>
    <row r="389" ht="48.75" spans="1:7">
      <c r="A389" s="256" t="s">
        <v>233</v>
      </c>
      <c r="B389" s="257"/>
      <c r="D389" s="116" t="s">
        <v>124</v>
      </c>
      <c r="E389" s="263">
        <v>195.9225</v>
      </c>
      <c r="F389" s="264">
        <v>187.856666666667</v>
      </c>
      <c r="G389" s="265">
        <v>224</v>
      </c>
    </row>
    <row r="390" ht="48.75" spans="1:7">
      <c r="A390" s="256" t="s">
        <v>224</v>
      </c>
      <c r="B390" s="116">
        <v>224</v>
      </c>
      <c r="D390" s="72"/>
      <c r="E390" s="72"/>
      <c r="F390" s="73"/>
      <c r="G390" s="73"/>
    </row>
    <row r="391" ht="84.75" spans="1:7">
      <c r="A391" s="266" t="s">
        <v>225</v>
      </c>
      <c r="B391" s="116">
        <v>134</v>
      </c>
      <c r="D391" s="72"/>
      <c r="E391" s="72">
        <v>117.5535</v>
      </c>
      <c r="F391" s="73">
        <v>112.714</v>
      </c>
      <c r="G391" s="73">
        <v>134.4</v>
      </c>
    </row>
    <row r="394" spans="1:2">
      <c r="A394" s="531" t="s">
        <v>226</v>
      </c>
      <c r="B394" s="95">
        <f>AVERAGE(B342:B381)</f>
        <v>195.9225</v>
      </c>
    </row>
    <row r="395" spans="1:2">
      <c r="A395" s="531" t="s">
        <v>227</v>
      </c>
      <c r="B395" s="96">
        <f>AVERAGE(B347:B376)</f>
        <v>187.856666666667</v>
      </c>
    </row>
    <row r="396" spans="1:2">
      <c r="A396" s="531" t="s">
        <v>228</v>
      </c>
      <c r="B396" s="96">
        <f>AVERAGE(B353:B371)</f>
        <v>185.936842105263</v>
      </c>
    </row>
    <row r="400" ht="15.75"/>
    <row r="401" ht="15.75" spans="1:7">
      <c r="A401" s="252" t="s">
        <v>165</v>
      </c>
      <c r="B401" s="273" t="s">
        <v>366</v>
      </c>
      <c r="C401" s="274"/>
      <c r="D401" s="275"/>
      <c r="E401" s="70">
        <f>(1-E456)^(1/3)-1</f>
        <v>0</v>
      </c>
      <c r="F401" s="70">
        <f>(1-F456)^(1/3)-1</f>
        <v>0</v>
      </c>
      <c r="G401" s="70"/>
    </row>
    <row r="402" ht="72.75" spans="1:7">
      <c r="A402" s="253"/>
      <c r="B402" s="254" t="s">
        <v>167</v>
      </c>
      <c r="C402">
        <v>0</v>
      </c>
      <c r="D402" s="72" t="s">
        <v>169</v>
      </c>
      <c r="E402" s="72" t="s">
        <v>169</v>
      </c>
      <c r="F402" s="73" t="s">
        <v>169</v>
      </c>
      <c r="G402" s="73"/>
    </row>
    <row r="403" ht="60.75" spans="1:6">
      <c r="A403" s="254"/>
      <c r="B403" s="116" t="s">
        <v>367</v>
      </c>
      <c r="C403" s="79" t="str">
        <f>B402</f>
        <v>Фактическое удельное годовое потребление</v>
      </c>
      <c r="D403" s="271" t="s">
        <v>171</v>
      </c>
      <c r="E403" s="536" t="s">
        <v>227</v>
      </c>
      <c r="F403" s="276"/>
    </row>
    <row r="404" ht="24.75" spans="1:7">
      <c r="A404" s="277">
        <v>1</v>
      </c>
      <c r="B404" s="277"/>
      <c r="C404" s="79" t="str">
        <f t="shared" ref="C404:C452" si="6">B403</f>
        <v>кгут / кв. м</v>
      </c>
      <c r="D404" s="116" t="s">
        <v>367</v>
      </c>
      <c r="E404" s="278">
        <v>5</v>
      </c>
      <c r="F404" s="279">
        <v>6</v>
      </c>
      <c r="G404" s="280"/>
    </row>
    <row r="405" ht="15.75" spans="1:7">
      <c r="A405" s="533" t="s">
        <v>172</v>
      </c>
      <c r="B405" s="257"/>
      <c r="C405" s="79">
        <f t="shared" si="6"/>
        <v>0</v>
      </c>
      <c r="D405" s="281"/>
      <c r="E405" s="80"/>
      <c r="F405" s="81"/>
      <c r="G405" s="81"/>
    </row>
    <row r="406" ht="15.75" spans="1:7">
      <c r="A406" s="533" t="s">
        <v>173</v>
      </c>
      <c r="B406" s="257"/>
      <c r="C406" s="79">
        <f t="shared" si="6"/>
        <v>0</v>
      </c>
      <c r="D406" s="116"/>
      <c r="E406" s="80"/>
      <c r="F406" s="81"/>
      <c r="G406" s="81"/>
    </row>
    <row r="407" ht="15.75" spans="1:7">
      <c r="A407" s="533" t="s">
        <v>174</v>
      </c>
      <c r="B407" s="257"/>
      <c r="C407" s="79">
        <f t="shared" si="6"/>
        <v>0</v>
      </c>
      <c r="D407" s="116"/>
      <c r="E407" s="80"/>
      <c r="F407" s="81"/>
      <c r="G407" s="81"/>
    </row>
    <row r="408" ht="15.75" spans="1:7">
      <c r="A408" s="533" t="s">
        <v>175</v>
      </c>
      <c r="B408" s="257"/>
      <c r="C408" s="79">
        <f t="shared" si="6"/>
        <v>0</v>
      </c>
      <c r="D408" s="116"/>
      <c r="E408" s="80"/>
      <c r="F408" s="81"/>
      <c r="G408" s="81"/>
    </row>
    <row r="409" ht="15.75" spans="1:7">
      <c r="A409" s="533" t="s">
        <v>176</v>
      </c>
      <c r="B409" s="257"/>
      <c r="C409" s="79">
        <f t="shared" si="6"/>
        <v>0</v>
      </c>
      <c r="D409" s="116"/>
      <c r="E409" s="80"/>
      <c r="F409" s="81"/>
      <c r="G409" s="81"/>
    </row>
    <row r="410" ht="15.75" spans="1:7">
      <c r="A410" s="533" t="s">
        <v>177</v>
      </c>
      <c r="B410" s="257"/>
      <c r="C410" s="79">
        <f t="shared" si="6"/>
        <v>0</v>
      </c>
      <c r="D410" s="116"/>
      <c r="E410" s="80"/>
      <c r="F410" s="81"/>
      <c r="G410" s="81"/>
    </row>
    <row r="411" ht="15.75" spans="1:7">
      <c r="A411" s="533" t="s">
        <v>178</v>
      </c>
      <c r="B411" s="257"/>
      <c r="C411" s="79">
        <f t="shared" si="6"/>
        <v>0</v>
      </c>
      <c r="D411" s="116"/>
      <c r="E411" s="80"/>
      <c r="F411" s="81"/>
      <c r="G411" s="81"/>
    </row>
    <row r="412" ht="15.75" spans="1:7">
      <c r="A412" s="257" t="s">
        <v>179</v>
      </c>
      <c r="B412" s="257"/>
      <c r="C412" s="79">
        <f t="shared" si="6"/>
        <v>0</v>
      </c>
      <c r="D412" s="116"/>
      <c r="E412" s="80"/>
      <c r="F412" s="81"/>
      <c r="G412" s="81"/>
    </row>
    <row r="413" ht="15.75" spans="1:7">
      <c r="A413" s="257" t="s">
        <v>180</v>
      </c>
      <c r="B413" s="257"/>
      <c r="C413" s="79">
        <f t="shared" si="6"/>
        <v>0</v>
      </c>
      <c r="D413" s="116"/>
      <c r="E413" s="80"/>
      <c r="F413" s="81"/>
      <c r="G413" s="81"/>
    </row>
    <row r="414" ht="15.75" spans="1:7">
      <c r="A414" s="257" t="s">
        <v>181</v>
      </c>
      <c r="B414" s="257"/>
      <c r="C414" s="79">
        <f t="shared" si="6"/>
        <v>0</v>
      </c>
      <c r="D414" s="116"/>
      <c r="E414" s="80"/>
      <c r="F414" s="81"/>
      <c r="G414" s="81"/>
    </row>
    <row r="415" ht="15.75" spans="1:7">
      <c r="A415" s="257" t="s">
        <v>182</v>
      </c>
      <c r="B415" s="257"/>
      <c r="C415" s="79">
        <f t="shared" si="6"/>
        <v>0</v>
      </c>
      <c r="D415" s="116"/>
      <c r="E415" s="80"/>
      <c r="F415" s="81"/>
      <c r="G415" s="81"/>
    </row>
    <row r="416" ht="15.75" spans="1:7">
      <c r="A416" s="257" t="s">
        <v>183</v>
      </c>
      <c r="B416" s="257"/>
      <c r="C416" s="79">
        <f t="shared" si="6"/>
        <v>0</v>
      </c>
      <c r="D416" s="116"/>
      <c r="E416" s="80"/>
      <c r="F416" s="81"/>
      <c r="G416" s="81"/>
    </row>
    <row r="417" ht="15.75" spans="1:7">
      <c r="A417" s="257" t="s">
        <v>184</v>
      </c>
      <c r="B417" s="257"/>
      <c r="C417" s="79">
        <f t="shared" si="6"/>
        <v>0</v>
      </c>
      <c r="D417" s="116"/>
      <c r="E417" s="80"/>
      <c r="F417" s="81"/>
      <c r="G417" s="81"/>
    </row>
    <row r="418" ht="15.75" spans="1:7">
      <c r="A418" s="257" t="s">
        <v>185</v>
      </c>
      <c r="B418" s="257"/>
      <c r="C418" s="79">
        <f t="shared" si="6"/>
        <v>0</v>
      </c>
      <c r="D418" s="116"/>
      <c r="E418" s="80"/>
      <c r="F418" s="81"/>
      <c r="G418" s="81"/>
    </row>
    <row r="419" ht="15.75" spans="1:7">
      <c r="A419" s="257" t="s">
        <v>186</v>
      </c>
      <c r="B419" s="257"/>
      <c r="C419" s="79">
        <f t="shared" si="6"/>
        <v>0</v>
      </c>
      <c r="D419" s="116"/>
      <c r="E419" s="80"/>
      <c r="F419" s="81"/>
      <c r="G419" s="81"/>
    </row>
    <row r="420" ht="15.75" spans="1:7">
      <c r="A420" s="257" t="s">
        <v>187</v>
      </c>
      <c r="B420" s="257"/>
      <c r="C420" s="79">
        <f t="shared" si="6"/>
        <v>0</v>
      </c>
      <c r="D420" s="116"/>
      <c r="E420" s="80"/>
      <c r="F420" s="81"/>
      <c r="G420" s="81"/>
    </row>
    <row r="421" ht="15.75" spans="1:7">
      <c r="A421" s="257" t="s">
        <v>188</v>
      </c>
      <c r="B421" s="257"/>
      <c r="C421" s="79">
        <f t="shared" si="6"/>
        <v>0</v>
      </c>
      <c r="D421" s="116"/>
      <c r="E421" s="80"/>
      <c r="F421" s="81"/>
      <c r="G421" s="81"/>
    </row>
    <row r="422" ht="15.75" spans="1:7">
      <c r="A422" s="257" t="s">
        <v>189</v>
      </c>
      <c r="B422" s="257"/>
      <c r="C422" s="79">
        <f t="shared" si="6"/>
        <v>0</v>
      </c>
      <c r="D422" s="116"/>
      <c r="E422" s="80"/>
      <c r="F422" s="81"/>
      <c r="G422" s="81"/>
    </row>
    <row r="423" ht="15.75" spans="1:7">
      <c r="A423" s="257" t="s">
        <v>190</v>
      </c>
      <c r="B423" s="257"/>
      <c r="C423" s="79">
        <f t="shared" si="6"/>
        <v>0</v>
      </c>
      <c r="D423" s="116"/>
      <c r="E423" s="80"/>
      <c r="F423" s="81"/>
      <c r="G423" s="81"/>
    </row>
    <row r="424" ht="15.75" spans="1:7">
      <c r="A424" s="257" t="s">
        <v>191</v>
      </c>
      <c r="B424" s="257"/>
      <c r="C424" s="79">
        <f t="shared" si="6"/>
        <v>0</v>
      </c>
      <c r="D424" s="116"/>
      <c r="E424" s="80"/>
      <c r="F424" s="81"/>
      <c r="G424" s="81"/>
    </row>
    <row r="425" ht="15.75" spans="1:7">
      <c r="A425" s="257" t="s">
        <v>192</v>
      </c>
      <c r="B425" s="257"/>
      <c r="C425" s="79">
        <f t="shared" si="6"/>
        <v>0</v>
      </c>
      <c r="D425" s="116"/>
      <c r="E425" s="80"/>
      <c r="F425" s="81"/>
      <c r="G425" s="81"/>
    </row>
    <row r="426" ht="15.75" spans="1:7">
      <c r="A426" s="257" t="s">
        <v>193</v>
      </c>
      <c r="B426" s="257"/>
      <c r="C426" s="79">
        <f t="shared" si="6"/>
        <v>0</v>
      </c>
      <c r="D426" s="116"/>
      <c r="E426" s="80"/>
      <c r="F426" s="81"/>
      <c r="G426" s="81"/>
    </row>
    <row r="427" ht="15.75" spans="1:7">
      <c r="A427" s="257" t="s">
        <v>194</v>
      </c>
      <c r="B427" s="257"/>
      <c r="C427" s="79">
        <f t="shared" si="6"/>
        <v>0</v>
      </c>
      <c r="D427" s="116"/>
      <c r="E427" s="80"/>
      <c r="F427" s="81"/>
      <c r="G427" s="81"/>
    </row>
    <row r="428" ht="15.75" spans="1:7">
      <c r="A428" s="257" t="s">
        <v>195</v>
      </c>
      <c r="B428" s="257"/>
      <c r="C428" s="79">
        <f t="shared" si="6"/>
        <v>0</v>
      </c>
      <c r="D428" s="116"/>
      <c r="E428" s="80"/>
      <c r="F428" s="81"/>
      <c r="G428" s="81"/>
    </row>
    <row r="429" ht="15.75" spans="1:7">
      <c r="A429" s="257" t="s">
        <v>196</v>
      </c>
      <c r="B429" s="257"/>
      <c r="C429" s="79">
        <f t="shared" si="6"/>
        <v>0</v>
      </c>
      <c r="D429" s="116"/>
      <c r="E429" s="80"/>
      <c r="F429" s="81"/>
      <c r="G429" s="81"/>
    </row>
    <row r="430" ht="15.75" spans="1:7">
      <c r="A430" s="257" t="s">
        <v>197</v>
      </c>
      <c r="B430" s="257"/>
      <c r="C430" s="79">
        <f t="shared" si="6"/>
        <v>0</v>
      </c>
      <c r="D430" s="116"/>
      <c r="E430" s="80"/>
      <c r="F430" s="81"/>
      <c r="G430" s="81"/>
    </row>
    <row r="431" ht="15.75" spans="1:7">
      <c r="A431" s="257" t="s">
        <v>198</v>
      </c>
      <c r="B431" s="257"/>
      <c r="C431" s="79">
        <f t="shared" si="6"/>
        <v>0</v>
      </c>
      <c r="D431" s="116"/>
      <c r="E431" s="80"/>
      <c r="F431" s="81"/>
      <c r="G431" s="81"/>
    </row>
    <row r="432" ht="15.75" spans="1:7">
      <c r="A432" s="257" t="s">
        <v>199</v>
      </c>
      <c r="B432" s="257"/>
      <c r="C432" s="79">
        <f t="shared" si="6"/>
        <v>0</v>
      </c>
      <c r="D432" s="116"/>
      <c r="E432" s="80"/>
      <c r="F432" s="81"/>
      <c r="G432" s="81"/>
    </row>
    <row r="433" ht="15.75" spans="1:7">
      <c r="A433" s="257" t="s">
        <v>200</v>
      </c>
      <c r="B433" s="257"/>
      <c r="C433" s="79">
        <f t="shared" si="6"/>
        <v>0</v>
      </c>
      <c r="D433" s="116"/>
      <c r="E433" s="80"/>
      <c r="F433" s="81"/>
      <c r="G433" s="81"/>
    </row>
    <row r="434" ht="15.75" spans="1:7">
      <c r="A434" s="257" t="s">
        <v>201</v>
      </c>
      <c r="B434" s="257"/>
      <c r="C434" s="79">
        <f t="shared" si="6"/>
        <v>0</v>
      </c>
      <c r="D434" s="116"/>
      <c r="E434" s="80"/>
      <c r="F434" s="81"/>
      <c r="G434" s="81"/>
    </row>
    <row r="435" ht="15.75" spans="1:7">
      <c r="A435" s="257" t="s">
        <v>202</v>
      </c>
      <c r="B435" s="257"/>
      <c r="C435" s="79">
        <f t="shared" si="6"/>
        <v>0</v>
      </c>
      <c r="D435" s="116"/>
      <c r="E435" s="80"/>
      <c r="F435" s="81"/>
      <c r="G435" s="81"/>
    </row>
    <row r="436" ht="15.75" spans="1:7">
      <c r="A436" s="257" t="s">
        <v>203</v>
      </c>
      <c r="B436" s="257"/>
      <c r="C436" s="79">
        <f t="shared" si="6"/>
        <v>0</v>
      </c>
      <c r="D436" s="116"/>
      <c r="E436" s="80"/>
      <c r="F436" s="81"/>
      <c r="G436" s="81"/>
    </row>
    <row r="437" ht="15.75" spans="1:7">
      <c r="A437" s="257" t="s">
        <v>204</v>
      </c>
      <c r="B437" s="257"/>
      <c r="C437" s="79">
        <f t="shared" si="6"/>
        <v>0</v>
      </c>
      <c r="D437" s="116"/>
      <c r="E437" s="80"/>
      <c r="F437" s="81"/>
      <c r="G437" s="81"/>
    </row>
    <row r="438" ht="15.75" spans="1:7">
      <c r="A438" s="257" t="s">
        <v>205</v>
      </c>
      <c r="B438" s="257"/>
      <c r="C438" s="79">
        <f t="shared" si="6"/>
        <v>0</v>
      </c>
      <c r="D438" s="116"/>
      <c r="E438" s="80"/>
      <c r="F438" s="81"/>
      <c r="G438" s="81"/>
    </row>
    <row r="439" ht="15.75" spans="1:7">
      <c r="A439" s="257" t="s">
        <v>206</v>
      </c>
      <c r="B439" s="257"/>
      <c r="C439" s="79">
        <f t="shared" si="6"/>
        <v>0</v>
      </c>
      <c r="D439" s="116"/>
      <c r="E439" s="80"/>
      <c r="F439" s="81"/>
      <c r="G439" s="81"/>
    </row>
    <row r="440" ht="15.75" spans="1:7">
      <c r="A440" s="257" t="s">
        <v>207</v>
      </c>
      <c r="B440" s="257"/>
      <c r="C440" s="79">
        <f t="shared" si="6"/>
        <v>0</v>
      </c>
      <c r="D440" s="116"/>
      <c r="E440" s="80"/>
      <c r="F440" s="81"/>
      <c r="G440" s="81"/>
    </row>
    <row r="441" ht="15.75" spans="1:7">
      <c r="A441" s="257" t="s">
        <v>208</v>
      </c>
      <c r="B441" s="257"/>
      <c r="C441" s="79">
        <f t="shared" si="6"/>
        <v>0</v>
      </c>
      <c r="D441" s="116"/>
      <c r="E441" s="80"/>
      <c r="F441" s="81"/>
      <c r="G441" s="81"/>
    </row>
    <row r="442" ht="15.75" spans="1:7">
      <c r="A442" s="257" t="s">
        <v>209</v>
      </c>
      <c r="B442" s="257"/>
      <c r="C442" s="79">
        <f t="shared" si="6"/>
        <v>0</v>
      </c>
      <c r="D442" s="116"/>
      <c r="E442" s="80"/>
      <c r="F442" s="81"/>
      <c r="G442" s="81"/>
    </row>
    <row r="443" ht="15.75" spans="1:7">
      <c r="A443" s="257" t="s">
        <v>210</v>
      </c>
      <c r="B443" s="257"/>
      <c r="C443" s="79">
        <f t="shared" si="6"/>
        <v>0</v>
      </c>
      <c r="D443" s="116"/>
      <c r="E443" s="80"/>
      <c r="F443" s="81"/>
      <c r="G443" s="81"/>
    </row>
    <row r="444" ht="15.75" spans="1:7">
      <c r="A444" s="257" t="s">
        <v>211</v>
      </c>
      <c r="B444" s="257"/>
      <c r="C444" s="79">
        <f t="shared" si="6"/>
        <v>0</v>
      </c>
      <c r="D444" s="116"/>
      <c r="E444" s="80"/>
      <c r="F444" s="81"/>
      <c r="G444" s="81"/>
    </row>
    <row r="445" ht="15.75" spans="1:7">
      <c r="A445" s="257" t="s">
        <v>212</v>
      </c>
      <c r="B445" s="257"/>
      <c r="C445" s="79">
        <f t="shared" si="6"/>
        <v>0</v>
      </c>
      <c r="D445" s="116"/>
      <c r="E445" s="80"/>
      <c r="F445" s="81"/>
      <c r="G445" s="81"/>
    </row>
    <row r="446" ht="15.75" spans="1:7">
      <c r="A446" s="257" t="s">
        <v>213</v>
      </c>
      <c r="B446" s="257"/>
      <c r="C446" s="79">
        <f t="shared" si="6"/>
        <v>0</v>
      </c>
      <c r="D446" s="116"/>
      <c r="E446" s="80"/>
      <c r="F446" s="81"/>
      <c r="G446" s="81"/>
    </row>
    <row r="447" ht="15.75" spans="1:7">
      <c r="A447" s="257" t="s">
        <v>214</v>
      </c>
      <c r="B447" s="257"/>
      <c r="C447" s="79">
        <f t="shared" si="6"/>
        <v>0</v>
      </c>
      <c r="D447" s="116"/>
      <c r="E447" s="80"/>
      <c r="F447" s="81"/>
      <c r="G447" s="81"/>
    </row>
    <row r="448" ht="15.75" spans="1:7">
      <c r="A448" s="257" t="s">
        <v>215</v>
      </c>
      <c r="B448" s="257"/>
      <c r="C448" s="79">
        <f t="shared" si="6"/>
        <v>0</v>
      </c>
      <c r="D448" s="116"/>
      <c r="E448" s="80"/>
      <c r="F448" s="81"/>
      <c r="G448" s="81"/>
    </row>
    <row r="449" ht="15.75" spans="1:7">
      <c r="A449" s="257" t="s">
        <v>216</v>
      </c>
      <c r="B449" s="257"/>
      <c r="C449" s="79">
        <f t="shared" si="6"/>
        <v>0</v>
      </c>
      <c r="D449" s="116"/>
      <c r="E449" s="80"/>
      <c r="F449" s="81"/>
      <c r="G449" s="81"/>
    </row>
    <row r="450" ht="15.75" spans="1:7">
      <c r="A450" s="257" t="s">
        <v>217</v>
      </c>
      <c r="B450" s="257"/>
      <c r="C450" s="79">
        <f t="shared" si="6"/>
        <v>0</v>
      </c>
      <c r="D450" s="116"/>
      <c r="E450" s="80"/>
      <c r="F450" s="81"/>
      <c r="G450" s="81"/>
    </row>
    <row r="451" ht="15.75" spans="1:7">
      <c r="A451" s="257" t="s">
        <v>218</v>
      </c>
      <c r="B451" s="257"/>
      <c r="C451" s="79">
        <f t="shared" si="6"/>
        <v>0</v>
      </c>
      <c r="D451" s="116"/>
      <c r="E451" s="80"/>
      <c r="F451" s="81"/>
      <c r="G451" s="81"/>
    </row>
    <row r="452" ht="15.75" spans="1:7">
      <c r="A452" s="257" t="s">
        <v>219</v>
      </c>
      <c r="B452" s="257"/>
      <c r="C452" s="79">
        <f t="shared" si="6"/>
        <v>0</v>
      </c>
      <c r="D452" s="116"/>
      <c r="E452" s="80"/>
      <c r="F452" s="81"/>
      <c r="G452" s="81"/>
    </row>
    <row r="453" ht="15.75" spans="1:7">
      <c r="A453" s="257" t="s">
        <v>220</v>
      </c>
      <c r="B453" s="257"/>
      <c r="D453" s="116"/>
      <c r="E453" s="80"/>
      <c r="F453" s="81"/>
      <c r="G453" s="81"/>
    </row>
    <row r="454" ht="15.75" spans="1:7">
      <c r="A454" s="257" t="s">
        <v>221</v>
      </c>
      <c r="B454" s="257"/>
      <c r="D454" s="116"/>
      <c r="E454" s="80"/>
      <c r="F454" s="81"/>
      <c r="G454" s="81"/>
    </row>
    <row r="455" ht="15.75" spans="1:7">
      <c r="A455" s="257" t="s">
        <v>221</v>
      </c>
      <c r="B455" s="257"/>
      <c r="D455" s="260"/>
      <c r="E455" s="72"/>
      <c r="F455" s="73"/>
      <c r="G455" s="84"/>
    </row>
    <row r="456" ht="15.75" spans="1:7">
      <c r="A456" s="257"/>
      <c r="B456" s="257"/>
      <c r="D456" s="116"/>
      <c r="E456" s="261"/>
      <c r="F456" s="262"/>
      <c r="G456" s="262"/>
    </row>
    <row r="457" ht="48.75" spans="1:7">
      <c r="A457" s="256" t="s">
        <v>233</v>
      </c>
      <c r="B457" s="257"/>
      <c r="D457" s="116"/>
      <c r="E457" s="263"/>
      <c r="F457" s="264"/>
      <c r="G457" s="265"/>
    </row>
    <row r="458" ht="48.75" spans="1:7">
      <c r="A458" s="256" t="s">
        <v>224</v>
      </c>
      <c r="B458" s="116"/>
      <c r="D458" s="72"/>
      <c r="E458" s="72"/>
      <c r="F458" s="73"/>
      <c r="G458" s="73"/>
    </row>
    <row r="459" ht="84.75" spans="1:7">
      <c r="A459" s="266" t="s">
        <v>225</v>
      </c>
      <c r="B459" s="116"/>
      <c r="D459" s="72"/>
      <c r="E459" s="72"/>
      <c r="F459" s="73"/>
      <c r="G459" s="73"/>
    </row>
    <row r="462" spans="1:2">
      <c r="A462" s="531" t="s">
        <v>226</v>
      </c>
      <c r="B462" s="95" t="e">
        <f>AVERAGE(B410:B449)</f>
        <v>#DIV/0!</v>
      </c>
    </row>
    <row r="463" spans="1:2">
      <c r="A463" s="531" t="s">
        <v>227</v>
      </c>
      <c r="B463" s="96" t="e">
        <f>AVERAGE(B415:B444)</f>
        <v>#DIV/0!</v>
      </c>
    </row>
    <row r="464" spans="1:2">
      <c r="A464" s="531" t="s">
        <v>228</v>
      </c>
      <c r="B464" s="96" t="e">
        <f>AVERAGE(B421:B439)</f>
        <v>#DIV/0!</v>
      </c>
    </row>
  </sheetData>
  <mergeCells count="14">
    <mergeCell ref="B2:D2"/>
    <mergeCell ref="B69:D69"/>
    <mergeCell ref="B134:D134"/>
    <mergeCell ref="B200:D200"/>
    <mergeCell ref="B266:D266"/>
    <mergeCell ref="B333:D333"/>
    <mergeCell ref="B401:D401"/>
    <mergeCell ref="A2:A4"/>
    <mergeCell ref="A69:A71"/>
    <mergeCell ref="A134:A136"/>
    <mergeCell ref="A200:A202"/>
    <mergeCell ref="A266:A268"/>
    <mergeCell ref="A333:A335"/>
    <mergeCell ref="A401:A403"/>
  </mergeCells>
  <pageMargins left="0.7" right="0.7" top="0.75" bottom="0.75" header="0.3" footer="0.3"/>
  <pageSetup paperSize="9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Лист16">
    <tabColor rgb="FF92D050"/>
  </sheetPr>
  <dimension ref="A1:G459"/>
  <sheetViews>
    <sheetView topLeftCell="A508" workbookViewId="0">
      <selection activeCell="E216" sqref="E216:E218"/>
    </sheetView>
  </sheetViews>
  <sheetFormatPr defaultColWidth="9.18095238095238" defaultRowHeight="15" outlineLevelCol="6"/>
  <cols>
    <col min="1" max="1" width="13" style="152" customWidth="1"/>
    <col min="2" max="2" width="10.2666666666667" style="152" customWidth="1"/>
    <col min="4" max="4" width="9.18095238095238" style="152" customWidth="1"/>
    <col min="5" max="6" width="9.45714285714286" style="152" customWidth="1"/>
    <col min="7" max="16384" width="9.18095238095238" style="152"/>
  </cols>
  <sheetData>
    <row r="1" ht="15.75" spans="5:6">
      <c r="E1" s="153">
        <v>0.1</v>
      </c>
      <c r="F1" s="154">
        <v>0.4</v>
      </c>
    </row>
    <row r="2" ht="23.25" customHeight="1" spans="1:7">
      <c r="A2" s="155" t="s">
        <v>165</v>
      </c>
      <c r="B2" s="156" t="s">
        <v>166</v>
      </c>
      <c r="C2" s="157"/>
      <c r="D2" s="158"/>
      <c r="E2" s="159">
        <f>(1-E57)^(1/3)-1</f>
        <v>-0.0282622828508167</v>
      </c>
      <c r="F2" s="160">
        <f>(1-F57)^(1/3)-1</f>
        <v>-0.0297681780040806</v>
      </c>
      <c r="G2" s="161"/>
    </row>
    <row r="3" ht="77.25" spans="1:7">
      <c r="A3" s="162"/>
      <c r="B3" s="130" t="s">
        <v>167</v>
      </c>
      <c r="C3" s="72"/>
      <c r="D3" s="130" t="s">
        <v>168</v>
      </c>
      <c r="E3" s="130" t="s">
        <v>169</v>
      </c>
      <c r="F3" s="130" t="s">
        <v>169</v>
      </c>
      <c r="G3" s="130"/>
    </row>
    <row r="4" ht="26.25" spans="1:7">
      <c r="A4" s="163"/>
      <c r="B4" s="164" t="s">
        <v>170</v>
      </c>
      <c r="C4" s="72"/>
      <c r="D4" s="164" t="s">
        <v>171</v>
      </c>
      <c r="E4" s="538" t="s">
        <v>401</v>
      </c>
      <c r="F4" s="539" t="s">
        <v>402</v>
      </c>
      <c r="G4" s="166"/>
    </row>
    <row r="5" ht="15.75" spans="1:7">
      <c r="A5" s="167">
        <v>1</v>
      </c>
      <c r="B5" s="168">
        <v>2</v>
      </c>
      <c r="C5" s="76"/>
      <c r="D5" s="169">
        <v>3</v>
      </c>
      <c r="E5" s="170">
        <v>4</v>
      </c>
      <c r="F5" s="171">
        <v>5</v>
      </c>
      <c r="G5" s="170"/>
    </row>
    <row r="6" spans="1:7">
      <c r="A6" s="540" t="s">
        <v>172</v>
      </c>
      <c r="B6" s="245">
        <v>0.3</v>
      </c>
      <c r="C6" s="79">
        <v>0</v>
      </c>
      <c r="D6" s="174">
        <v>0</v>
      </c>
      <c r="E6" s="175">
        <v>0</v>
      </c>
      <c r="F6" s="175">
        <v>0</v>
      </c>
      <c r="G6" s="176">
        <v>0</v>
      </c>
    </row>
    <row r="7" spans="1:7">
      <c r="A7" s="541" t="s">
        <v>173</v>
      </c>
      <c r="B7" s="246">
        <v>2.5</v>
      </c>
      <c r="C7" s="79">
        <f>B6</f>
        <v>0.3</v>
      </c>
      <c r="D7" s="174">
        <v>0</v>
      </c>
      <c r="E7" s="179">
        <v>0</v>
      </c>
      <c r="F7" s="179">
        <v>0</v>
      </c>
      <c r="G7" s="180">
        <v>0</v>
      </c>
    </row>
    <row r="8" spans="1:7">
      <c r="A8" s="541" t="s">
        <v>174</v>
      </c>
      <c r="B8" s="246">
        <v>3.5</v>
      </c>
      <c r="C8" s="79">
        <f t="shared" ref="C8:C56" si="0">B7</f>
        <v>2.5</v>
      </c>
      <c r="D8" s="174">
        <v>0</v>
      </c>
      <c r="E8" s="179">
        <v>0</v>
      </c>
      <c r="F8" s="179">
        <v>0</v>
      </c>
      <c r="G8" s="180">
        <v>0</v>
      </c>
    </row>
    <row r="9" spans="1:7">
      <c r="A9" s="541" t="s">
        <v>175</v>
      </c>
      <c r="B9" s="246">
        <v>4.4</v>
      </c>
      <c r="C9" s="79">
        <f t="shared" si="0"/>
        <v>3.5</v>
      </c>
      <c r="D9" s="174">
        <v>0</v>
      </c>
      <c r="E9" s="179">
        <v>0</v>
      </c>
      <c r="F9" s="179">
        <v>0</v>
      </c>
      <c r="G9" s="180">
        <v>0</v>
      </c>
    </row>
    <row r="10" spans="1:7">
      <c r="A10" s="541" t="s">
        <v>176</v>
      </c>
      <c r="B10" s="246">
        <v>5.5</v>
      </c>
      <c r="C10" s="79">
        <f t="shared" si="0"/>
        <v>4.4</v>
      </c>
      <c r="D10" s="174">
        <v>0</v>
      </c>
      <c r="E10" s="179">
        <v>0</v>
      </c>
      <c r="F10" s="179">
        <v>0</v>
      </c>
      <c r="G10" s="180">
        <v>0</v>
      </c>
    </row>
    <row r="11" spans="1:7">
      <c r="A11" s="541" t="s">
        <v>177</v>
      </c>
      <c r="B11" s="246">
        <v>6.2</v>
      </c>
      <c r="C11" s="79">
        <f t="shared" si="0"/>
        <v>5.5</v>
      </c>
      <c r="D11" s="174">
        <v>0</v>
      </c>
      <c r="E11" s="179">
        <v>0</v>
      </c>
      <c r="F11" s="179">
        <v>0</v>
      </c>
      <c r="G11" s="180">
        <v>0</v>
      </c>
    </row>
    <row r="12" spans="1:7">
      <c r="A12" s="541" t="s">
        <v>178</v>
      </c>
      <c r="B12" s="246">
        <v>6.9</v>
      </c>
      <c r="C12" s="79">
        <f t="shared" si="0"/>
        <v>6.2</v>
      </c>
      <c r="D12" s="174">
        <v>0</v>
      </c>
      <c r="E12" s="179">
        <v>0</v>
      </c>
      <c r="F12" s="179">
        <v>0</v>
      </c>
      <c r="G12" s="180">
        <v>0</v>
      </c>
    </row>
    <row r="13" spans="1:7">
      <c r="A13" s="177" t="s">
        <v>179</v>
      </c>
      <c r="B13" s="246">
        <v>7.6</v>
      </c>
      <c r="C13" s="79">
        <f t="shared" si="0"/>
        <v>6.9</v>
      </c>
      <c r="D13" s="174">
        <v>0</v>
      </c>
      <c r="E13" s="179">
        <v>0</v>
      </c>
      <c r="F13" s="179">
        <v>0</v>
      </c>
      <c r="G13" s="180">
        <v>0</v>
      </c>
    </row>
    <row r="14" spans="1:7">
      <c r="A14" s="177" t="s">
        <v>180</v>
      </c>
      <c r="B14" s="246">
        <v>8.4</v>
      </c>
      <c r="C14" s="79">
        <f t="shared" si="0"/>
        <v>7.6</v>
      </c>
      <c r="D14" s="174">
        <v>0</v>
      </c>
      <c r="E14" s="179">
        <v>0</v>
      </c>
      <c r="F14" s="179">
        <v>0</v>
      </c>
      <c r="G14" s="180">
        <v>0</v>
      </c>
    </row>
    <row r="15" spans="1:7">
      <c r="A15" s="177" t="s">
        <v>181</v>
      </c>
      <c r="B15" s="246">
        <v>9</v>
      </c>
      <c r="C15" s="79">
        <f t="shared" si="0"/>
        <v>8.4</v>
      </c>
      <c r="D15" s="174">
        <v>0</v>
      </c>
      <c r="E15" s="179">
        <v>0</v>
      </c>
      <c r="F15" s="179">
        <v>0</v>
      </c>
      <c r="G15" s="180">
        <v>0</v>
      </c>
    </row>
    <row r="16" spans="1:7">
      <c r="A16" s="177" t="s">
        <v>182</v>
      </c>
      <c r="B16" s="246">
        <v>9.8</v>
      </c>
      <c r="C16" s="79">
        <f t="shared" si="0"/>
        <v>9</v>
      </c>
      <c r="D16" s="174">
        <v>0</v>
      </c>
      <c r="E16" s="179">
        <v>0</v>
      </c>
      <c r="F16" s="179">
        <v>0</v>
      </c>
      <c r="G16" s="180">
        <v>0</v>
      </c>
    </row>
    <row r="17" spans="1:7">
      <c r="A17" s="177" t="s">
        <v>183</v>
      </c>
      <c r="B17" s="246">
        <v>10.4</v>
      </c>
      <c r="C17" s="79">
        <f t="shared" si="0"/>
        <v>9.8</v>
      </c>
      <c r="D17" s="174">
        <v>0</v>
      </c>
      <c r="E17" s="179">
        <v>0</v>
      </c>
      <c r="F17" s="179">
        <v>0</v>
      </c>
      <c r="G17" s="180">
        <v>0</v>
      </c>
    </row>
    <row r="18" spans="1:7">
      <c r="A18" s="177" t="s">
        <v>184</v>
      </c>
      <c r="B18" s="246">
        <v>11.1</v>
      </c>
      <c r="C18" s="79">
        <f t="shared" si="0"/>
        <v>10.4</v>
      </c>
      <c r="D18" s="174">
        <v>0</v>
      </c>
      <c r="E18" s="179">
        <v>0</v>
      </c>
      <c r="F18" s="179">
        <v>0</v>
      </c>
      <c r="G18" s="180">
        <v>0</v>
      </c>
    </row>
    <row r="19" spans="1:7">
      <c r="A19" s="177" t="s">
        <v>185</v>
      </c>
      <c r="B19" s="246">
        <v>11.6</v>
      </c>
      <c r="C19" s="79">
        <f t="shared" si="0"/>
        <v>11.1</v>
      </c>
      <c r="D19" s="174">
        <v>0</v>
      </c>
      <c r="E19" s="179">
        <v>0</v>
      </c>
      <c r="F19" s="179">
        <v>0</v>
      </c>
      <c r="G19" s="180">
        <v>0</v>
      </c>
    </row>
    <row r="20" spans="1:7">
      <c r="A20" s="177" t="s">
        <v>186</v>
      </c>
      <c r="B20" s="246">
        <v>12.3</v>
      </c>
      <c r="C20" s="79">
        <f t="shared" si="0"/>
        <v>11.6</v>
      </c>
      <c r="D20" s="174">
        <v>0.0136585365853658</v>
      </c>
      <c r="E20" s="179">
        <v>0.00136585365853658</v>
      </c>
      <c r="F20" s="179">
        <v>0.00460162601626018</v>
      </c>
      <c r="G20" s="180">
        <v>0.00469833119383826</v>
      </c>
    </row>
    <row r="21" spans="1:7">
      <c r="A21" s="177" t="s">
        <v>187</v>
      </c>
      <c r="B21" s="246">
        <v>12.8</v>
      </c>
      <c r="C21" s="79">
        <f t="shared" si="0"/>
        <v>12.3</v>
      </c>
      <c r="D21" s="174">
        <v>0.0521874999999999</v>
      </c>
      <c r="E21" s="179">
        <v>0.00521874999999999</v>
      </c>
      <c r="F21" s="179">
        <v>0.00832812500000002</v>
      </c>
      <c r="G21" s="180">
        <v>0.00842105263157895</v>
      </c>
    </row>
    <row r="22" spans="1:7">
      <c r="A22" s="177" t="s">
        <v>188</v>
      </c>
      <c r="B22" s="246">
        <v>13.5</v>
      </c>
      <c r="C22" s="79">
        <f t="shared" si="0"/>
        <v>12.8</v>
      </c>
      <c r="D22" s="174">
        <v>0.101333333333333</v>
      </c>
      <c r="E22" s="179">
        <v>0.0101333333333333</v>
      </c>
      <c r="F22" s="179">
        <v>0.0130814814814815</v>
      </c>
      <c r="G22" s="180">
        <v>0.0131695906432749</v>
      </c>
    </row>
    <row r="23" spans="1:7">
      <c r="A23" s="177" t="s">
        <v>189</v>
      </c>
      <c r="B23" s="246">
        <v>14.1</v>
      </c>
      <c r="C23" s="79">
        <f t="shared" si="0"/>
        <v>13.5</v>
      </c>
      <c r="D23" s="174">
        <v>0.139574468085106</v>
      </c>
      <c r="E23" s="179">
        <v>0.0139574468085106</v>
      </c>
      <c r="F23" s="179">
        <v>0.0167801418439716</v>
      </c>
      <c r="G23" s="180">
        <v>0.0168645016797312</v>
      </c>
    </row>
    <row r="24" spans="1:7">
      <c r="A24" s="177" t="s">
        <v>190</v>
      </c>
      <c r="B24" s="246">
        <v>14.9</v>
      </c>
      <c r="C24" s="79">
        <f t="shared" si="0"/>
        <v>14.1</v>
      </c>
      <c r="D24" s="174">
        <v>0.185771812080537</v>
      </c>
      <c r="E24" s="179">
        <v>0.0185771812080537</v>
      </c>
      <c r="F24" s="179">
        <v>0.021248322147651</v>
      </c>
      <c r="G24" s="180">
        <v>0.0213281525962557</v>
      </c>
    </row>
    <row r="25" spans="1:7">
      <c r="A25" s="177" t="s">
        <v>191</v>
      </c>
      <c r="B25" s="246">
        <v>15.8</v>
      </c>
      <c r="C25" s="79">
        <f t="shared" si="0"/>
        <v>14.9</v>
      </c>
      <c r="D25" s="174">
        <v>0.232151898734177</v>
      </c>
      <c r="E25" s="179">
        <v>0.0232151898734177</v>
      </c>
      <c r="F25" s="179">
        <v>0.0257341772151899</v>
      </c>
      <c r="G25" s="180">
        <v>0.0258094603597602</v>
      </c>
    </row>
    <row r="26" spans="1:7">
      <c r="A26" s="177" t="s">
        <v>192</v>
      </c>
      <c r="B26" s="246">
        <v>16.4</v>
      </c>
      <c r="C26" s="79">
        <f t="shared" si="0"/>
        <v>15.8</v>
      </c>
      <c r="D26" s="174">
        <v>0.260243902439024</v>
      </c>
      <c r="E26" s="179">
        <v>0.0260243902439024</v>
      </c>
      <c r="F26" s="179">
        <v>0.0284512195121951</v>
      </c>
      <c r="G26" s="180">
        <v>0.0285237483953787</v>
      </c>
    </row>
    <row r="27" spans="1:7">
      <c r="A27" s="177" t="s">
        <v>193</v>
      </c>
      <c r="B27" s="246">
        <v>16.9</v>
      </c>
      <c r="C27" s="79">
        <f t="shared" si="0"/>
        <v>16.4</v>
      </c>
      <c r="D27" s="174">
        <v>0.282130177514793</v>
      </c>
      <c r="E27" s="179">
        <v>0.0282130177514793</v>
      </c>
      <c r="F27" s="179">
        <v>0.0305680473372781</v>
      </c>
      <c r="G27" s="180">
        <v>0.0306384303955154</v>
      </c>
    </row>
    <row r="28" spans="1:7">
      <c r="A28" s="177" t="s">
        <v>194</v>
      </c>
      <c r="B28" s="246">
        <v>17.4</v>
      </c>
      <c r="C28" s="79">
        <f t="shared" si="0"/>
        <v>16.9</v>
      </c>
      <c r="D28" s="174">
        <v>0.302758620689655</v>
      </c>
      <c r="E28" s="179">
        <v>0.0302758620689655</v>
      </c>
      <c r="F28" s="179">
        <v>0.0325632183908046</v>
      </c>
      <c r="G28" s="180">
        <v>0.0326315789473684</v>
      </c>
    </row>
    <row r="29" spans="1:7">
      <c r="A29" s="177" t="s">
        <v>195</v>
      </c>
      <c r="B29" s="246">
        <v>18</v>
      </c>
      <c r="C29" s="79">
        <f t="shared" si="0"/>
        <v>17.4</v>
      </c>
      <c r="D29" s="174">
        <v>0.326</v>
      </c>
      <c r="E29" s="179">
        <v>0.0326</v>
      </c>
      <c r="F29" s="179">
        <v>0.0348111111111111</v>
      </c>
      <c r="G29" s="180">
        <v>0.0348771929824561</v>
      </c>
    </row>
    <row r="30" spans="1:7">
      <c r="A30" s="177" t="s">
        <v>196</v>
      </c>
      <c r="B30" s="246">
        <v>18.5</v>
      </c>
      <c r="C30" s="79">
        <f t="shared" si="0"/>
        <v>18</v>
      </c>
      <c r="D30" s="174">
        <v>0.344216216216216</v>
      </c>
      <c r="E30" s="179">
        <v>0.0344216216216216</v>
      </c>
      <c r="F30" s="179">
        <v>0.036572972972973</v>
      </c>
      <c r="G30" s="180">
        <v>0.0366372688477952</v>
      </c>
    </row>
    <row r="31" spans="1:7">
      <c r="A31" s="177" t="s">
        <v>197</v>
      </c>
      <c r="B31" s="246">
        <v>18.9</v>
      </c>
      <c r="C31" s="79">
        <f t="shared" si="0"/>
        <v>18.5</v>
      </c>
      <c r="D31" s="174">
        <v>0.358095238095238</v>
      </c>
      <c r="E31" s="179">
        <v>0.0358095238095238</v>
      </c>
      <c r="F31" s="179">
        <v>0.0379153439153439</v>
      </c>
      <c r="G31" s="180">
        <v>0.0379782790309106</v>
      </c>
    </row>
    <row r="32" spans="1:7">
      <c r="A32" s="177" t="s">
        <v>198</v>
      </c>
      <c r="B32" s="246">
        <v>19.8</v>
      </c>
      <c r="C32" s="79">
        <f t="shared" si="0"/>
        <v>18.9</v>
      </c>
      <c r="D32" s="174">
        <v>0.387272727272727</v>
      </c>
      <c r="E32" s="179">
        <v>0.0387272727272727</v>
      </c>
      <c r="F32" s="179">
        <v>0.0444242424242425</v>
      </c>
      <c r="G32" s="180">
        <v>0.0447846889952153</v>
      </c>
    </row>
    <row r="33" spans="1:7">
      <c r="A33" s="177" t="s">
        <v>199</v>
      </c>
      <c r="B33" s="246">
        <v>20.3</v>
      </c>
      <c r="C33" s="79">
        <f t="shared" si="0"/>
        <v>19.8</v>
      </c>
      <c r="D33" s="174">
        <v>0.402364532019704</v>
      </c>
      <c r="E33" s="179">
        <v>0.0414187192118226</v>
      </c>
      <c r="F33" s="179">
        <v>0.0531822660098523</v>
      </c>
      <c r="G33" s="180">
        <v>0.0535338345864662</v>
      </c>
    </row>
    <row r="34" spans="1:7">
      <c r="A34" s="177" t="s">
        <v>200</v>
      </c>
      <c r="B34" s="246">
        <v>20.9</v>
      </c>
      <c r="C34" s="79">
        <f t="shared" si="0"/>
        <v>20.3</v>
      </c>
      <c r="D34" s="174">
        <v>0.419521531100478</v>
      </c>
      <c r="E34" s="179">
        <v>0.051712918660287</v>
      </c>
      <c r="F34" s="179">
        <v>0.0631387559808613</v>
      </c>
      <c r="G34" s="180">
        <v>0.0634802316796776</v>
      </c>
    </row>
    <row r="35" spans="1:7">
      <c r="A35" s="177" t="s">
        <v>201</v>
      </c>
      <c r="B35" s="246">
        <v>21.6</v>
      </c>
      <c r="C35" s="79">
        <f t="shared" si="0"/>
        <v>20.9</v>
      </c>
      <c r="D35" s="174">
        <v>0.438333333333333</v>
      </c>
      <c r="E35" s="179">
        <v>0.063</v>
      </c>
      <c r="F35" s="179">
        <v>0.0740555555555556</v>
      </c>
      <c r="G35" s="180">
        <v>0.0743859649122807</v>
      </c>
    </row>
    <row r="36" spans="1:7">
      <c r="A36" s="177" t="s">
        <v>202</v>
      </c>
      <c r="B36" s="246">
        <v>22.7</v>
      </c>
      <c r="C36" s="79">
        <f t="shared" si="0"/>
        <v>21.6</v>
      </c>
      <c r="D36" s="174">
        <v>0.465550660792951</v>
      </c>
      <c r="E36" s="179">
        <v>0.0793303964757709</v>
      </c>
      <c r="F36" s="179">
        <v>0.0898502202643172</v>
      </c>
      <c r="G36" s="180">
        <v>0.0901646185949455</v>
      </c>
    </row>
    <row r="37" spans="1:7">
      <c r="A37" s="177" t="s">
        <v>203</v>
      </c>
      <c r="B37" s="246">
        <v>23.9</v>
      </c>
      <c r="C37" s="79">
        <f t="shared" si="0"/>
        <v>22.7</v>
      </c>
      <c r="D37" s="174">
        <v>0.492384937238494</v>
      </c>
      <c r="E37" s="179">
        <v>0.0954309623430962</v>
      </c>
      <c r="F37" s="179">
        <v>0.105422594142259</v>
      </c>
      <c r="G37" s="180">
        <v>0.105721206782647</v>
      </c>
    </row>
    <row r="38" spans="1:7">
      <c r="A38" s="177" t="s">
        <v>204</v>
      </c>
      <c r="B38" s="246">
        <v>24.8</v>
      </c>
      <c r="C38" s="79">
        <f t="shared" si="0"/>
        <v>23.9</v>
      </c>
      <c r="D38" s="174">
        <v>0.510806451612903</v>
      </c>
      <c r="E38" s="179">
        <v>0.106483870967742</v>
      </c>
      <c r="F38" s="179">
        <v>0.116112903225807</v>
      </c>
      <c r="G38" s="180">
        <v>0.116400679117148</v>
      </c>
    </row>
    <row r="39" spans="1:7">
      <c r="A39" s="177" t="s">
        <v>205</v>
      </c>
      <c r="B39" s="246">
        <v>25.9</v>
      </c>
      <c r="C39" s="79">
        <f t="shared" si="0"/>
        <v>24.8</v>
      </c>
      <c r="D39" s="174">
        <v>0.531583011583011</v>
      </c>
      <c r="E39" s="179">
        <v>0.118949806949807</v>
      </c>
      <c r="F39" s="179">
        <v>0.128169884169884</v>
      </c>
      <c r="G39" s="180">
        <v>0.128445437919122</v>
      </c>
    </row>
    <row r="40" spans="1:7">
      <c r="A40" s="177" t="s">
        <v>206</v>
      </c>
      <c r="B40" s="246">
        <v>26.9</v>
      </c>
      <c r="C40" s="79">
        <f t="shared" si="0"/>
        <v>25.9</v>
      </c>
      <c r="D40" s="174">
        <v>0.548996282527881</v>
      </c>
      <c r="E40" s="179">
        <v>0.129397769516729</v>
      </c>
      <c r="F40" s="179">
        <v>0.138275092936803</v>
      </c>
      <c r="G40" s="180">
        <v>0.13854040305224</v>
      </c>
    </row>
    <row r="41" spans="1:7">
      <c r="A41" s="177" t="s">
        <v>207</v>
      </c>
      <c r="B41" s="246">
        <v>27.9</v>
      </c>
      <c r="C41" s="79">
        <f t="shared" si="0"/>
        <v>26.9</v>
      </c>
      <c r="D41" s="174">
        <v>0.565161290322581</v>
      </c>
      <c r="E41" s="179">
        <v>0.139096774193548</v>
      </c>
      <c r="F41" s="179">
        <v>0.147655913978495</v>
      </c>
      <c r="G41" s="180">
        <v>0.147911714770798</v>
      </c>
    </row>
    <row r="42" spans="1:7">
      <c r="A42" s="177" t="s">
        <v>208</v>
      </c>
      <c r="B42" s="246">
        <v>28.5</v>
      </c>
      <c r="C42" s="79">
        <f t="shared" si="0"/>
        <v>27.9</v>
      </c>
      <c r="D42" s="174">
        <v>0.574315789473684</v>
      </c>
      <c r="E42" s="179">
        <v>0.14458947368421</v>
      </c>
      <c r="F42" s="179">
        <v>0.152968421052632</v>
      </c>
      <c r="G42" s="180">
        <v>0.153218836565097</v>
      </c>
    </row>
    <row r="43" spans="1:7">
      <c r="A43" s="177" t="s">
        <v>209</v>
      </c>
      <c r="B43" s="246">
        <v>29</v>
      </c>
      <c r="C43" s="79">
        <f t="shared" si="0"/>
        <v>28.5</v>
      </c>
      <c r="D43" s="174">
        <v>0.581655172413793</v>
      </c>
      <c r="E43" s="179">
        <v>0.148993103448276</v>
      </c>
      <c r="F43" s="179">
        <v>0.157227586206897</v>
      </c>
      <c r="G43" s="180">
        <v>0.157473684210526</v>
      </c>
    </row>
    <row r="44" spans="1:7">
      <c r="A44" s="177" t="s">
        <v>210</v>
      </c>
      <c r="B44" s="246">
        <v>30.2</v>
      </c>
      <c r="C44" s="79">
        <f t="shared" si="0"/>
        <v>29</v>
      </c>
      <c r="D44" s="174">
        <v>0.598278145695364</v>
      </c>
      <c r="E44" s="179">
        <v>0.158966887417219</v>
      </c>
      <c r="F44" s="179">
        <v>0.16687417218543</v>
      </c>
      <c r="G44" s="180">
        <v>0.167110491460439</v>
      </c>
    </row>
    <row r="45" spans="1:7">
      <c r="A45" s="177" t="s">
        <v>211</v>
      </c>
      <c r="B45" s="246">
        <v>31.9</v>
      </c>
      <c r="C45" s="79">
        <f t="shared" si="0"/>
        <v>30.2</v>
      </c>
      <c r="D45" s="174">
        <v>0.619686520376175</v>
      </c>
      <c r="E45" s="179">
        <v>0.171811912225705</v>
      </c>
      <c r="F45" s="179">
        <v>0.179297805642633</v>
      </c>
      <c r="G45" s="180">
        <v>0.179521531100478</v>
      </c>
    </row>
    <row r="46" spans="1:7">
      <c r="A46" s="177" t="s">
        <v>212</v>
      </c>
      <c r="B46" s="246">
        <v>33.1</v>
      </c>
      <c r="C46" s="79">
        <f t="shared" si="0"/>
        <v>31.9</v>
      </c>
      <c r="D46" s="174">
        <v>0.633474320241692</v>
      </c>
      <c r="E46" s="179">
        <v>0.180084592145015</v>
      </c>
      <c r="F46" s="179">
        <v>0.187299093655589</v>
      </c>
      <c r="G46" s="180">
        <v>0.187514708220703</v>
      </c>
    </row>
    <row r="47" spans="1:7">
      <c r="A47" s="177" t="s">
        <v>213</v>
      </c>
      <c r="B47" s="246">
        <v>34.7</v>
      </c>
      <c r="C47" s="79">
        <f t="shared" si="0"/>
        <v>33.1</v>
      </c>
      <c r="D47" s="174">
        <v>0.650374639769452</v>
      </c>
      <c r="E47" s="179">
        <v>0.190224783861671</v>
      </c>
      <c r="F47" s="179">
        <v>0.197106628242075</v>
      </c>
      <c r="G47" s="180">
        <v>0.197312300925224</v>
      </c>
    </row>
    <row r="48" spans="1:7">
      <c r="A48" s="177" t="s">
        <v>214</v>
      </c>
      <c r="B48" s="246">
        <v>36.1</v>
      </c>
      <c r="C48" s="79">
        <f t="shared" si="0"/>
        <v>34.7</v>
      </c>
      <c r="D48" s="174">
        <v>0.66393351800554</v>
      </c>
      <c r="E48" s="179">
        <v>0.198360110803324</v>
      </c>
      <c r="F48" s="179">
        <v>0.204975069252078</v>
      </c>
      <c r="G48" s="180">
        <v>0.205172765709287</v>
      </c>
    </row>
    <row r="49" spans="1:7">
      <c r="A49" s="177" t="s">
        <v>215</v>
      </c>
      <c r="B49" s="246">
        <v>39.2</v>
      </c>
      <c r="C49" s="79">
        <f t="shared" si="0"/>
        <v>36.1</v>
      </c>
      <c r="D49" s="174">
        <v>0.690510204081633</v>
      </c>
      <c r="E49" s="179">
        <v>0.21430612244898</v>
      </c>
      <c r="F49" s="179">
        <v>0.220397959183673</v>
      </c>
      <c r="G49" s="180">
        <v>0.220580021482277</v>
      </c>
    </row>
    <row r="50" spans="1:7">
      <c r="A50" s="177" t="s">
        <v>216</v>
      </c>
      <c r="B50" s="246">
        <v>40.9</v>
      </c>
      <c r="C50" s="79">
        <f t="shared" si="0"/>
        <v>39.2</v>
      </c>
      <c r="D50" s="174">
        <v>0.703374083129584</v>
      </c>
      <c r="E50" s="179">
        <v>0.222024449877751</v>
      </c>
      <c r="F50" s="179">
        <v>0.227863080684597</v>
      </c>
      <c r="G50" s="180">
        <v>0.228037575601596</v>
      </c>
    </row>
    <row r="51" spans="1:7">
      <c r="A51" s="177" t="s">
        <v>217</v>
      </c>
      <c r="B51" s="246">
        <v>43.4</v>
      </c>
      <c r="C51" s="79">
        <f t="shared" si="0"/>
        <v>40.9</v>
      </c>
      <c r="D51" s="174">
        <v>0.720460829493088</v>
      </c>
      <c r="E51" s="179">
        <v>0.232276497695853</v>
      </c>
      <c r="F51" s="179">
        <v>0.237778801843318</v>
      </c>
      <c r="G51" s="180">
        <v>0.237943245209799</v>
      </c>
    </row>
    <row r="52" spans="1:7">
      <c r="A52" s="177" t="s">
        <v>218</v>
      </c>
      <c r="B52" s="246">
        <v>46.8</v>
      </c>
      <c r="C52" s="79">
        <f t="shared" si="0"/>
        <v>43.4</v>
      </c>
      <c r="D52" s="174">
        <v>0.740769230769231</v>
      </c>
      <c r="E52" s="179">
        <v>0.244461538461538</v>
      </c>
      <c r="F52" s="179">
        <v>0.249564102564103</v>
      </c>
      <c r="G52" s="180">
        <v>0.249716599190283</v>
      </c>
    </row>
    <row r="53" spans="1:7">
      <c r="A53" s="177" t="s">
        <v>219</v>
      </c>
      <c r="B53" s="246">
        <v>54.5</v>
      </c>
      <c r="C53" s="79">
        <f t="shared" si="0"/>
        <v>46.8</v>
      </c>
      <c r="D53" s="174">
        <v>0.777394495412844</v>
      </c>
      <c r="E53" s="179">
        <v>0.266436697247706</v>
      </c>
      <c r="F53" s="179">
        <v>0.270818348623853</v>
      </c>
      <c r="G53" s="180">
        <v>0.270949299855142</v>
      </c>
    </row>
    <row r="54" spans="1:7">
      <c r="A54" s="177" t="s">
        <v>220</v>
      </c>
      <c r="B54" s="246">
        <v>68.1</v>
      </c>
      <c r="C54" s="79">
        <f t="shared" si="0"/>
        <v>54.5</v>
      </c>
      <c r="D54" s="174">
        <v>0.821850220264317</v>
      </c>
      <c r="E54" s="179">
        <v>0.29311013215859</v>
      </c>
      <c r="F54" s="179">
        <v>0.296616740088106</v>
      </c>
      <c r="G54" s="180">
        <v>0.296721539531648</v>
      </c>
    </row>
    <row r="55" spans="1:7">
      <c r="A55" s="177" t="s">
        <v>221</v>
      </c>
      <c r="B55" s="246">
        <v>106.5</v>
      </c>
      <c r="C55" s="79">
        <f t="shared" si="0"/>
        <v>68.1</v>
      </c>
      <c r="D55" s="174">
        <v>0.886084507042253</v>
      </c>
      <c r="E55" s="179">
        <v>0.331650704225352</v>
      </c>
      <c r="F55" s="179">
        <v>0.333892957746479</v>
      </c>
      <c r="G55" s="180">
        <v>0.333959970348406</v>
      </c>
    </row>
    <row r="56" ht="15.75" spans="1:7">
      <c r="A56" s="181" t="s">
        <v>221</v>
      </c>
      <c r="B56" s="182" t="s">
        <v>403</v>
      </c>
      <c r="C56" s="79">
        <f t="shared" si="0"/>
        <v>106.5</v>
      </c>
      <c r="D56" s="183"/>
      <c r="E56" s="184"/>
      <c r="F56" s="184"/>
      <c r="G56" s="185"/>
    </row>
    <row r="57" ht="15.75" spans="1:7">
      <c r="A57" s="186"/>
      <c r="B57" s="187"/>
      <c r="C57" s="82"/>
      <c r="D57" s="188"/>
      <c r="E57" s="189">
        <v>0.0824131533424922</v>
      </c>
      <c r="F57" s="189">
        <v>0.086672479652076</v>
      </c>
      <c r="G57" s="190">
        <v>0.0868035787505062</v>
      </c>
    </row>
    <row r="58" ht="51" customHeight="1" spans="1:7">
      <c r="A58" s="191" t="s">
        <v>233</v>
      </c>
      <c r="B58" s="192">
        <v>20</v>
      </c>
      <c r="C58" s="82"/>
      <c r="D58" s="193"/>
      <c r="E58" s="194">
        <v>20.22</v>
      </c>
      <c r="F58" s="195">
        <v>19.5566666666667</v>
      </c>
      <c r="G58" s="196">
        <v>19.5368421052632</v>
      </c>
    </row>
    <row r="59" ht="51.75" customHeight="1" spans="1:7">
      <c r="A59" s="197" t="s">
        <v>224</v>
      </c>
      <c r="B59" s="198">
        <v>21.9</v>
      </c>
      <c r="C59" s="82"/>
      <c r="D59" s="199"/>
      <c r="E59" s="200"/>
      <c r="F59" s="200"/>
      <c r="G59" s="201"/>
    </row>
    <row r="60" ht="75.75" customHeight="1" spans="1:7">
      <c r="A60" s="202" t="s">
        <v>225</v>
      </c>
      <c r="B60" s="203">
        <v>12</v>
      </c>
      <c r="C60" s="78"/>
      <c r="D60" s="184"/>
      <c r="E60" s="183">
        <v>12.132</v>
      </c>
      <c r="F60" s="183">
        <v>11.734</v>
      </c>
      <c r="G60" s="204">
        <v>11.7221052631579</v>
      </c>
    </row>
    <row r="61" ht="15.75"/>
    <row r="62" ht="53.25" customHeight="1" spans="1:2">
      <c r="A62" s="205" t="s">
        <v>224</v>
      </c>
      <c r="B62" s="166">
        <f>B59</f>
        <v>21.9</v>
      </c>
    </row>
    <row r="63" spans="1:3">
      <c r="A63" s="542" t="s">
        <v>226</v>
      </c>
      <c r="B63" s="207">
        <f>AVERAGE(B11:B50)</f>
        <v>20.22</v>
      </c>
      <c r="C63" s="95"/>
    </row>
    <row r="64" spans="1:3">
      <c r="A64" s="543" t="s">
        <v>227</v>
      </c>
      <c r="B64" s="209">
        <f>AVERAGE(B16:B45)</f>
        <v>19.5566666666667</v>
      </c>
      <c r="C64" s="96"/>
    </row>
    <row r="65" ht="15.75" spans="1:3">
      <c r="A65" s="544" t="s">
        <v>228</v>
      </c>
      <c r="B65" s="211">
        <f>AVERAGE(B22:B40)</f>
        <v>19.5368421052632</v>
      </c>
      <c r="C65" s="96"/>
    </row>
    <row r="68" ht="15.75"/>
    <row r="69" ht="37.5" customHeight="1" spans="1:7">
      <c r="A69" s="155" t="s">
        <v>165</v>
      </c>
      <c r="B69" s="156" t="s">
        <v>229</v>
      </c>
      <c r="C69" s="157"/>
      <c r="D69" s="158"/>
      <c r="E69" s="159">
        <f>(1-E124)^(1/3)-1</f>
        <v>-0.024248004737547</v>
      </c>
      <c r="F69" s="160">
        <f>(1-F124)^(1/3)-1</f>
        <v>-0.024248004737547</v>
      </c>
      <c r="G69" s="161"/>
    </row>
    <row r="70" ht="77.25" spans="1:7">
      <c r="A70" s="162"/>
      <c r="B70" s="130" t="s">
        <v>167</v>
      </c>
      <c r="C70" s="83"/>
      <c r="D70" s="130" t="s">
        <v>168</v>
      </c>
      <c r="E70" s="130" t="s">
        <v>169</v>
      </c>
      <c r="F70" s="130" t="s">
        <v>169</v>
      </c>
      <c r="G70" s="130"/>
    </row>
    <row r="71" ht="26.25" spans="1:7">
      <c r="A71" s="163"/>
      <c r="B71" s="164" t="s">
        <v>230</v>
      </c>
      <c r="C71" s="83"/>
      <c r="D71" s="164" t="s">
        <v>171</v>
      </c>
      <c r="E71" s="538" t="s">
        <v>401</v>
      </c>
      <c r="F71" s="539" t="s">
        <v>402</v>
      </c>
      <c r="G71" s="166"/>
    </row>
    <row r="72" ht="15.75" spans="1:7">
      <c r="A72" s="167">
        <v>1</v>
      </c>
      <c r="B72" s="212">
        <v>2</v>
      </c>
      <c r="C72" s="76"/>
      <c r="D72" s="131">
        <v>3</v>
      </c>
      <c r="E72" s="169">
        <v>4</v>
      </c>
      <c r="F72" s="131">
        <v>5</v>
      </c>
      <c r="G72" s="169"/>
    </row>
    <row r="73" spans="1:7">
      <c r="A73" s="545" t="s">
        <v>172</v>
      </c>
      <c r="B73" s="214">
        <v>16.2</v>
      </c>
      <c r="C73" s="102">
        <v>0</v>
      </c>
      <c r="D73" s="174">
        <v>0</v>
      </c>
      <c r="E73" s="175">
        <v>0</v>
      </c>
      <c r="F73" s="175">
        <v>0</v>
      </c>
      <c r="G73" s="176">
        <v>0</v>
      </c>
    </row>
    <row r="74" spans="1:7">
      <c r="A74" s="546" t="s">
        <v>173</v>
      </c>
      <c r="B74" s="216">
        <v>21.9</v>
      </c>
      <c r="C74" s="79">
        <f>B73</f>
        <v>16.2</v>
      </c>
      <c r="D74" s="174">
        <v>0</v>
      </c>
      <c r="E74" s="179">
        <v>0</v>
      </c>
      <c r="F74" s="179">
        <v>0</v>
      </c>
      <c r="G74" s="180">
        <v>0</v>
      </c>
    </row>
    <row r="75" spans="1:7">
      <c r="A75" s="546" t="s">
        <v>174</v>
      </c>
      <c r="B75" s="216">
        <v>24.2</v>
      </c>
      <c r="C75" s="79">
        <f t="shared" ref="C75:C123" si="1">B74</f>
        <v>21.9</v>
      </c>
      <c r="D75" s="174">
        <v>0</v>
      </c>
      <c r="E75" s="179">
        <v>0</v>
      </c>
      <c r="F75" s="179">
        <v>0</v>
      </c>
      <c r="G75" s="180">
        <v>0</v>
      </c>
    </row>
    <row r="76" spans="1:7">
      <c r="A76" s="546" t="s">
        <v>175</v>
      </c>
      <c r="B76" s="216">
        <v>25.9</v>
      </c>
      <c r="C76" s="79">
        <f t="shared" si="1"/>
        <v>24.2</v>
      </c>
      <c r="D76" s="174">
        <v>0</v>
      </c>
      <c r="E76" s="179">
        <v>0</v>
      </c>
      <c r="F76" s="179">
        <v>0</v>
      </c>
      <c r="G76" s="180">
        <v>0</v>
      </c>
    </row>
    <row r="77" spans="1:7">
      <c r="A77" s="546" t="s">
        <v>176</v>
      </c>
      <c r="B77" s="216">
        <v>27.9</v>
      </c>
      <c r="C77" s="79">
        <f t="shared" si="1"/>
        <v>25.9</v>
      </c>
      <c r="D77" s="174">
        <v>0</v>
      </c>
      <c r="E77" s="179">
        <v>0</v>
      </c>
      <c r="F77" s="179">
        <v>0</v>
      </c>
      <c r="G77" s="180">
        <v>0</v>
      </c>
    </row>
    <row r="78" spans="1:7">
      <c r="A78" s="546" t="s">
        <v>177</v>
      </c>
      <c r="B78" s="216">
        <v>28.9</v>
      </c>
      <c r="C78" s="79">
        <f t="shared" si="1"/>
        <v>27.9</v>
      </c>
      <c r="D78" s="174">
        <v>0</v>
      </c>
      <c r="E78" s="179">
        <v>0</v>
      </c>
      <c r="F78" s="179">
        <v>0</v>
      </c>
      <c r="G78" s="180">
        <v>0.00126643598615921</v>
      </c>
    </row>
    <row r="79" spans="1:7">
      <c r="A79" s="546" t="s">
        <v>178</v>
      </c>
      <c r="B79" s="216">
        <v>29.7</v>
      </c>
      <c r="C79" s="79">
        <f t="shared" si="1"/>
        <v>28.9</v>
      </c>
      <c r="D79" s="174">
        <v>0.0162121212121215</v>
      </c>
      <c r="E79" s="179"/>
      <c r="F79" s="179">
        <v>0.00162121212121215</v>
      </c>
      <c r="G79" s="180">
        <v>0.00392592592592596</v>
      </c>
    </row>
    <row r="80" spans="1:7">
      <c r="A80" s="215" t="s">
        <v>179</v>
      </c>
      <c r="B80" s="216">
        <v>31.2</v>
      </c>
      <c r="C80" s="79">
        <f t="shared" si="1"/>
        <v>29.7</v>
      </c>
      <c r="D80" s="174">
        <v>0.0635096153846156</v>
      </c>
      <c r="E80" s="179"/>
      <c r="F80" s="179">
        <v>0.00635096153846156</v>
      </c>
      <c r="G80" s="180">
        <v>0.00854487179487183</v>
      </c>
    </row>
    <row r="81" spans="1:7">
      <c r="A81" s="215" t="s">
        <v>180</v>
      </c>
      <c r="B81" s="216">
        <v>32.7</v>
      </c>
      <c r="C81" s="79">
        <f t="shared" si="1"/>
        <v>31.2</v>
      </c>
      <c r="D81" s="174">
        <v>0.106467889908257</v>
      </c>
      <c r="E81" s="179">
        <v>0.0106467889908257</v>
      </c>
      <c r="F81" s="179">
        <v>0.0106467889908257</v>
      </c>
      <c r="G81" s="180">
        <v>0.0127400611620796</v>
      </c>
    </row>
    <row r="82" spans="1:7">
      <c r="A82" s="215" t="s">
        <v>181</v>
      </c>
      <c r="B82" s="216">
        <v>34</v>
      </c>
      <c r="C82" s="79">
        <f t="shared" si="1"/>
        <v>32.7</v>
      </c>
      <c r="D82" s="174">
        <v>0.140632352941177</v>
      </c>
      <c r="E82" s="179">
        <v>0.0140632352941177</v>
      </c>
      <c r="F82" s="179">
        <v>0.0140632352941177</v>
      </c>
      <c r="G82" s="180">
        <v>0.0160764705882353</v>
      </c>
    </row>
    <row r="83" spans="1:7">
      <c r="A83" s="215" t="s">
        <v>182</v>
      </c>
      <c r="B83" s="216">
        <v>34.9</v>
      </c>
      <c r="C83" s="79">
        <f t="shared" si="1"/>
        <v>34</v>
      </c>
      <c r="D83" s="174">
        <v>0.162793696275072</v>
      </c>
      <c r="E83" s="179">
        <v>0.0162793696275072</v>
      </c>
      <c r="F83" s="179">
        <v>0.0162793696275072</v>
      </c>
      <c r="G83" s="180">
        <v>0.0182406876790831</v>
      </c>
    </row>
    <row r="84" spans="1:7">
      <c r="A84" s="215" t="s">
        <v>183</v>
      </c>
      <c r="B84" s="216">
        <v>35.6</v>
      </c>
      <c r="C84" s="79">
        <f t="shared" si="1"/>
        <v>34.9</v>
      </c>
      <c r="D84" s="174">
        <v>0.179255617977528</v>
      </c>
      <c r="E84" s="179">
        <v>0.0179255617977528</v>
      </c>
      <c r="F84" s="179">
        <v>0.0179255617977528</v>
      </c>
      <c r="G84" s="180">
        <v>0.0198483146067416</v>
      </c>
    </row>
    <row r="85" spans="1:7">
      <c r="A85" s="215" t="s">
        <v>184</v>
      </c>
      <c r="B85" s="216">
        <v>36.3</v>
      </c>
      <c r="C85" s="79">
        <f t="shared" si="1"/>
        <v>35.6</v>
      </c>
      <c r="D85" s="174">
        <v>0.195082644628099</v>
      </c>
      <c r="E85" s="179">
        <v>0.0195082644628099</v>
      </c>
      <c r="F85" s="179">
        <v>0.0195082644628099</v>
      </c>
      <c r="G85" s="180">
        <v>0.0213939393939394</v>
      </c>
    </row>
    <row r="86" spans="1:7">
      <c r="A86" s="215" t="s">
        <v>185</v>
      </c>
      <c r="B86" s="216">
        <v>37.2</v>
      </c>
      <c r="C86" s="79">
        <f t="shared" si="1"/>
        <v>36.3</v>
      </c>
      <c r="D86" s="174">
        <v>0.214556451612904</v>
      </c>
      <c r="E86" s="179">
        <v>0.0214556451612904</v>
      </c>
      <c r="F86" s="179">
        <v>0.0214556451612904</v>
      </c>
      <c r="G86" s="180">
        <v>0.0232956989247312</v>
      </c>
    </row>
    <row r="87" spans="1:7">
      <c r="A87" s="215" t="s">
        <v>186</v>
      </c>
      <c r="B87" s="216">
        <v>38.4</v>
      </c>
      <c r="C87" s="79">
        <f t="shared" si="1"/>
        <v>37.2</v>
      </c>
      <c r="D87" s="174">
        <v>0.2391015625</v>
      </c>
      <c r="E87" s="179">
        <v>0.02391015625</v>
      </c>
      <c r="F87" s="179">
        <v>0.02391015625</v>
      </c>
      <c r="G87" s="180">
        <v>0.0256927083333334</v>
      </c>
    </row>
    <row r="88" spans="1:7">
      <c r="A88" s="215" t="s">
        <v>187</v>
      </c>
      <c r="B88" s="216">
        <v>39.2</v>
      </c>
      <c r="C88" s="79">
        <f t="shared" si="1"/>
        <v>38.4</v>
      </c>
      <c r="D88" s="174">
        <v>0.254630102040817</v>
      </c>
      <c r="E88" s="179">
        <v>0.0254630102040817</v>
      </c>
      <c r="F88" s="179">
        <v>0.0254630102040817</v>
      </c>
      <c r="G88" s="180">
        <v>0.0272091836734694</v>
      </c>
    </row>
    <row r="89" spans="1:7">
      <c r="A89" s="215" t="s">
        <v>188</v>
      </c>
      <c r="B89" s="216">
        <v>39.9</v>
      </c>
      <c r="C89" s="79">
        <f t="shared" si="1"/>
        <v>39.2</v>
      </c>
      <c r="D89" s="174">
        <v>0.267706766917293</v>
      </c>
      <c r="E89" s="179">
        <v>0.0267706766917293</v>
      </c>
      <c r="F89" s="179">
        <v>0.0267706766917293</v>
      </c>
      <c r="G89" s="180">
        <v>0.0284862155388471</v>
      </c>
    </row>
    <row r="90" spans="1:7">
      <c r="A90" s="215" t="s">
        <v>189</v>
      </c>
      <c r="B90" s="216">
        <v>40.6</v>
      </c>
      <c r="C90" s="79">
        <f t="shared" si="1"/>
        <v>39.9</v>
      </c>
      <c r="D90" s="174">
        <v>0.280332512315271</v>
      </c>
      <c r="E90" s="179">
        <v>0.0280332512315271</v>
      </c>
      <c r="F90" s="179">
        <v>0.0280332512315271</v>
      </c>
      <c r="G90" s="180">
        <v>0.0297192118226601</v>
      </c>
    </row>
    <row r="91" spans="1:7">
      <c r="A91" s="215" t="s">
        <v>190</v>
      </c>
      <c r="B91" s="216">
        <v>41.4</v>
      </c>
      <c r="C91" s="79">
        <f t="shared" si="1"/>
        <v>40.6</v>
      </c>
      <c r="D91" s="174">
        <v>0.294239130434783</v>
      </c>
      <c r="E91" s="179">
        <v>0.0294239130434783</v>
      </c>
      <c r="F91" s="179">
        <v>0.0294239130434783</v>
      </c>
      <c r="G91" s="180">
        <v>0.0310772946859904</v>
      </c>
    </row>
    <row r="92" spans="1:7">
      <c r="A92" s="215" t="s">
        <v>191</v>
      </c>
      <c r="B92" s="216">
        <v>42.4</v>
      </c>
      <c r="C92" s="79">
        <f t="shared" si="1"/>
        <v>41.4</v>
      </c>
      <c r="D92" s="174">
        <v>0.310884433962264</v>
      </c>
      <c r="E92" s="179">
        <v>0.0310884433962264</v>
      </c>
      <c r="F92" s="179">
        <v>0.0310884433962264</v>
      </c>
      <c r="G92" s="180">
        <v>0.0327028301886793</v>
      </c>
    </row>
    <row r="93" spans="1:7">
      <c r="A93" s="215" t="s">
        <v>192</v>
      </c>
      <c r="B93" s="216">
        <v>43.1</v>
      </c>
      <c r="C93" s="79">
        <f t="shared" si="1"/>
        <v>42.4</v>
      </c>
      <c r="D93" s="174">
        <v>0.32207656612529</v>
      </c>
      <c r="E93" s="179">
        <v>0.032207656612529</v>
      </c>
      <c r="F93" s="179">
        <v>0.032207656612529</v>
      </c>
      <c r="G93" s="180">
        <v>0.0337958236658933</v>
      </c>
    </row>
    <row r="94" spans="1:7">
      <c r="A94" s="215" t="s">
        <v>193</v>
      </c>
      <c r="B94" s="216">
        <v>43.8</v>
      </c>
      <c r="C94" s="79">
        <f t="shared" si="1"/>
        <v>43.1</v>
      </c>
      <c r="D94" s="174">
        <v>0.33291095890411</v>
      </c>
      <c r="E94" s="179">
        <v>0.033291095890411</v>
      </c>
      <c r="F94" s="179">
        <v>0.033291095890411</v>
      </c>
      <c r="G94" s="180">
        <v>0.0348538812785388</v>
      </c>
    </row>
    <row r="95" spans="1:7">
      <c r="A95" s="215" t="s">
        <v>194</v>
      </c>
      <c r="B95" s="216">
        <v>45</v>
      </c>
      <c r="C95" s="79">
        <f t="shared" si="1"/>
        <v>43.8</v>
      </c>
      <c r="D95" s="174">
        <v>0.3507</v>
      </c>
      <c r="E95" s="179">
        <v>0.03507</v>
      </c>
      <c r="F95" s="179">
        <v>0.03507</v>
      </c>
      <c r="G95" s="180">
        <v>0.0365911111111111</v>
      </c>
    </row>
    <row r="96" spans="1:7">
      <c r="A96" s="215" t="s">
        <v>195</v>
      </c>
      <c r="B96" s="216">
        <v>45.5</v>
      </c>
      <c r="C96" s="79">
        <f t="shared" si="1"/>
        <v>45</v>
      </c>
      <c r="D96" s="174">
        <v>0.357835164835165</v>
      </c>
      <c r="E96" s="179">
        <v>0.0357835164835165</v>
      </c>
      <c r="F96" s="179">
        <v>0.0357835164835165</v>
      </c>
      <c r="G96" s="180">
        <v>0.0372879120879121</v>
      </c>
    </row>
    <row r="97" spans="1:7">
      <c r="A97" s="215" t="s">
        <v>196</v>
      </c>
      <c r="B97" s="216">
        <v>46.1</v>
      </c>
      <c r="C97" s="79">
        <f t="shared" si="1"/>
        <v>45.5</v>
      </c>
      <c r="D97" s="174">
        <v>0.36619305856833</v>
      </c>
      <c r="E97" s="179">
        <v>0.036619305856833</v>
      </c>
      <c r="F97" s="179">
        <v>0.036619305856833</v>
      </c>
      <c r="G97" s="180">
        <v>0.0381041214750543</v>
      </c>
    </row>
    <row r="98" spans="1:7">
      <c r="A98" s="215" t="s">
        <v>197</v>
      </c>
      <c r="B98" s="216">
        <v>46.8</v>
      </c>
      <c r="C98" s="79">
        <f t="shared" si="1"/>
        <v>46.1</v>
      </c>
      <c r="D98" s="174">
        <v>0.375673076923077</v>
      </c>
      <c r="E98" s="179">
        <v>0.0375673076923077</v>
      </c>
      <c r="F98" s="179">
        <v>0.0375673076923077</v>
      </c>
      <c r="G98" s="180">
        <v>0.0390299145299145</v>
      </c>
    </row>
    <row r="99" spans="1:7">
      <c r="A99" s="215" t="s">
        <v>198</v>
      </c>
      <c r="B99" s="216">
        <v>47.3</v>
      </c>
      <c r="C99" s="79">
        <f t="shared" si="1"/>
        <v>46.8</v>
      </c>
      <c r="D99" s="174">
        <v>0.382272727272727</v>
      </c>
      <c r="E99" s="179">
        <v>0.0382272727272727</v>
      </c>
      <c r="F99" s="179">
        <v>0.0382272727272727</v>
      </c>
      <c r="G99" s="180">
        <v>0.0396744186046512</v>
      </c>
    </row>
    <row r="100" spans="1:7">
      <c r="A100" s="215" t="s">
        <v>199</v>
      </c>
      <c r="B100" s="216">
        <v>48.3</v>
      </c>
      <c r="C100" s="79">
        <f t="shared" si="1"/>
        <v>47.3</v>
      </c>
      <c r="D100" s="174">
        <v>0.395062111801242</v>
      </c>
      <c r="E100" s="179">
        <v>0.0395062111801242</v>
      </c>
      <c r="F100" s="179">
        <v>0.0395062111801242</v>
      </c>
      <c r="G100" s="180">
        <v>0.0455403726708076</v>
      </c>
    </row>
    <row r="101" spans="1:7">
      <c r="A101" s="215" t="s">
        <v>200</v>
      </c>
      <c r="B101" s="216">
        <v>49.1</v>
      </c>
      <c r="C101" s="79">
        <f t="shared" si="1"/>
        <v>48.3</v>
      </c>
      <c r="D101" s="174">
        <v>0.404918533604888</v>
      </c>
      <c r="E101" s="179">
        <v>0.0429511201629329</v>
      </c>
      <c r="F101" s="179">
        <v>0.0429511201629329</v>
      </c>
      <c r="G101" s="180">
        <v>0.0513156822810592</v>
      </c>
    </row>
    <row r="102" spans="1:7">
      <c r="A102" s="215" t="s">
        <v>201</v>
      </c>
      <c r="B102" s="216">
        <v>50.4</v>
      </c>
      <c r="C102" s="79">
        <f t="shared" si="1"/>
        <v>49.1</v>
      </c>
      <c r="D102" s="174">
        <v>0.420267857142857</v>
      </c>
      <c r="E102" s="179">
        <v>0.0521607142857144</v>
      </c>
      <c r="F102" s="179">
        <v>0.0521607142857144</v>
      </c>
      <c r="G102" s="180">
        <v>0.0603095238095239</v>
      </c>
    </row>
    <row r="103" spans="1:7">
      <c r="A103" s="215" t="s">
        <v>202</v>
      </c>
      <c r="B103" s="216">
        <v>51.2</v>
      </c>
      <c r="C103" s="79">
        <f t="shared" si="1"/>
        <v>50.4</v>
      </c>
      <c r="D103" s="174">
        <v>0.429326171875</v>
      </c>
      <c r="E103" s="179">
        <v>0.0575957031250001</v>
      </c>
      <c r="F103" s="179">
        <v>0.0575957031250001</v>
      </c>
      <c r="G103" s="180">
        <v>0.0656171875000001</v>
      </c>
    </row>
    <row r="104" spans="1:7">
      <c r="A104" s="215" t="s">
        <v>203</v>
      </c>
      <c r="B104" s="216">
        <v>52.5</v>
      </c>
      <c r="C104" s="79">
        <f t="shared" si="1"/>
        <v>51.2</v>
      </c>
      <c r="D104" s="174">
        <v>0.443457142857143</v>
      </c>
      <c r="E104" s="179">
        <v>0.0660742857142858</v>
      </c>
      <c r="F104" s="179">
        <v>0.0660742857142858</v>
      </c>
      <c r="G104" s="180">
        <v>0.073897142857143</v>
      </c>
    </row>
    <row r="105" spans="1:7">
      <c r="A105" s="215" t="s">
        <v>204</v>
      </c>
      <c r="B105" s="216">
        <v>53.8</v>
      </c>
      <c r="C105" s="79">
        <f t="shared" si="1"/>
        <v>52.5</v>
      </c>
      <c r="D105" s="174">
        <v>0.456905204460967</v>
      </c>
      <c r="E105" s="179">
        <v>0.07414312267658</v>
      </c>
      <c r="F105" s="179">
        <v>0.07414312267658</v>
      </c>
      <c r="G105" s="180">
        <v>0.0817769516728625</v>
      </c>
    </row>
    <row r="106" spans="1:7">
      <c r="A106" s="215" t="s">
        <v>205</v>
      </c>
      <c r="B106" s="216">
        <v>55</v>
      </c>
      <c r="C106" s="79">
        <f t="shared" si="1"/>
        <v>53.8</v>
      </c>
      <c r="D106" s="174">
        <v>0.468754545454546</v>
      </c>
      <c r="E106" s="179">
        <v>0.0812527272727274</v>
      </c>
      <c r="F106" s="179">
        <v>0.0812527272727274</v>
      </c>
      <c r="G106" s="180">
        <v>0.0887200000000001</v>
      </c>
    </row>
    <row r="107" spans="1:7">
      <c r="A107" s="215" t="s">
        <v>206</v>
      </c>
      <c r="B107" s="216">
        <v>56.1</v>
      </c>
      <c r="C107" s="79">
        <f t="shared" si="1"/>
        <v>55</v>
      </c>
      <c r="D107" s="174">
        <v>0.479171122994653</v>
      </c>
      <c r="E107" s="179">
        <v>0.0875026737967915</v>
      </c>
      <c r="F107" s="179">
        <v>0.0875026737967915</v>
      </c>
      <c r="G107" s="180">
        <v>0.0948235294117648</v>
      </c>
    </row>
    <row r="108" spans="1:7">
      <c r="A108" s="215" t="s">
        <v>207</v>
      </c>
      <c r="B108" s="216">
        <v>57.8</v>
      </c>
      <c r="C108" s="79">
        <f t="shared" si="1"/>
        <v>56.1</v>
      </c>
      <c r="D108" s="174">
        <v>0.494489619377163</v>
      </c>
      <c r="E108" s="179">
        <v>0.0966937716262976</v>
      </c>
      <c r="F108" s="179">
        <v>0.0966937716262976</v>
      </c>
      <c r="G108" s="180">
        <v>0.103799307958478</v>
      </c>
    </row>
    <row r="109" spans="1:7">
      <c r="A109" s="215" t="s">
        <v>208</v>
      </c>
      <c r="B109" s="216">
        <v>60</v>
      </c>
      <c r="C109" s="79">
        <f t="shared" si="1"/>
        <v>57.8</v>
      </c>
      <c r="D109" s="174">
        <v>0.513025</v>
      </c>
      <c r="E109" s="179">
        <v>0.107815</v>
      </c>
      <c r="F109" s="179">
        <v>0.107815</v>
      </c>
      <c r="G109" s="180">
        <v>0.11466</v>
      </c>
    </row>
    <row r="110" spans="1:7">
      <c r="A110" s="215" t="s">
        <v>209</v>
      </c>
      <c r="B110" s="216">
        <v>61.3</v>
      </c>
      <c r="C110" s="79">
        <f t="shared" si="1"/>
        <v>60</v>
      </c>
      <c r="D110" s="174">
        <v>0.523352365415987</v>
      </c>
      <c r="E110" s="179">
        <v>0.114011419249592</v>
      </c>
      <c r="F110" s="179">
        <v>0.114011419249592</v>
      </c>
      <c r="G110" s="180">
        <v>0.120711256117455</v>
      </c>
    </row>
    <row r="111" spans="1:7">
      <c r="A111" s="215" t="s">
        <v>210</v>
      </c>
      <c r="B111" s="216">
        <v>63.2</v>
      </c>
      <c r="C111" s="79">
        <f t="shared" si="1"/>
        <v>61.3</v>
      </c>
      <c r="D111" s="174">
        <v>0.537681962025317</v>
      </c>
      <c r="E111" s="179">
        <v>0.12260917721519</v>
      </c>
      <c r="F111" s="179">
        <v>0.12260917721519</v>
      </c>
      <c r="G111" s="180">
        <v>0.129107594936709</v>
      </c>
    </row>
    <row r="112" spans="1:7">
      <c r="A112" s="215" t="s">
        <v>211</v>
      </c>
      <c r="B112" s="216">
        <v>64.5</v>
      </c>
      <c r="C112" s="79">
        <f t="shared" si="1"/>
        <v>63.2</v>
      </c>
      <c r="D112" s="174">
        <v>0.547</v>
      </c>
      <c r="E112" s="179">
        <v>0.1282</v>
      </c>
      <c r="F112" s="179">
        <v>0.1282</v>
      </c>
      <c r="G112" s="180">
        <v>0.134567441860465</v>
      </c>
    </row>
    <row r="113" spans="1:7">
      <c r="A113" s="215" t="s">
        <v>212</v>
      </c>
      <c r="B113" s="216">
        <v>67.7</v>
      </c>
      <c r="C113" s="79">
        <f t="shared" si="1"/>
        <v>64.5</v>
      </c>
      <c r="D113" s="174">
        <v>0.568412112259971</v>
      </c>
      <c r="E113" s="179">
        <v>0.141047267355982</v>
      </c>
      <c r="F113" s="179">
        <v>0.141047267355982</v>
      </c>
      <c r="G113" s="180">
        <v>0.147113737075332</v>
      </c>
    </row>
    <row r="114" spans="1:7">
      <c r="A114" s="215" t="s">
        <v>213</v>
      </c>
      <c r="B114" s="216">
        <v>70.4</v>
      </c>
      <c r="C114" s="79">
        <f t="shared" si="1"/>
        <v>67.7</v>
      </c>
      <c r="D114" s="174">
        <v>0.584964488636364</v>
      </c>
      <c r="E114" s="179">
        <v>0.150978693181818</v>
      </c>
      <c r="F114" s="179">
        <v>0.150978693181818</v>
      </c>
      <c r="G114" s="180">
        <v>0.1568125</v>
      </c>
    </row>
    <row r="115" spans="1:7">
      <c r="A115" s="215" t="s">
        <v>214</v>
      </c>
      <c r="B115" s="216">
        <v>73.2</v>
      </c>
      <c r="C115" s="79">
        <f t="shared" si="1"/>
        <v>70.4</v>
      </c>
      <c r="D115" s="174">
        <v>0.600840163934426</v>
      </c>
      <c r="E115" s="179">
        <v>0.160504098360656</v>
      </c>
      <c r="F115" s="179">
        <v>0.160504098360656</v>
      </c>
      <c r="G115" s="180">
        <v>0.166114754098361</v>
      </c>
    </row>
    <row r="116" spans="1:7">
      <c r="A116" s="215" t="s">
        <v>215</v>
      </c>
      <c r="B116" s="216">
        <v>75.6</v>
      </c>
      <c r="C116" s="79">
        <f t="shared" si="1"/>
        <v>73.2</v>
      </c>
      <c r="D116" s="174">
        <v>0.613511904761905</v>
      </c>
      <c r="E116" s="179">
        <v>0.168107142857143</v>
      </c>
      <c r="F116" s="179">
        <v>0.168107142857143</v>
      </c>
      <c r="G116" s="180">
        <v>0.173539682539683</v>
      </c>
    </row>
    <row r="117" spans="1:7">
      <c r="A117" s="215" t="s">
        <v>216</v>
      </c>
      <c r="B117" s="216">
        <v>77.8</v>
      </c>
      <c r="C117" s="79">
        <f t="shared" si="1"/>
        <v>75.6</v>
      </c>
      <c r="D117" s="174">
        <v>0.62444087403599</v>
      </c>
      <c r="E117" s="179">
        <v>0.174664524421594</v>
      </c>
      <c r="F117" s="179">
        <v>0.174664524421594</v>
      </c>
      <c r="G117" s="180">
        <v>0.179943444730077</v>
      </c>
    </row>
    <row r="118" spans="1:7">
      <c r="A118" s="215" t="s">
        <v>217</v>
      </c>
      <c r="B118" s="216">
        <v>81.5</v>
      </c>
      <c r="C118" s="79">
        <f t="shared" si="1"/>
        <v>77.8</v>
      </c>
      <c r="D118" s="174">
        <v>0.641490797546012</v>
      </c>
      <c r="E118" s="179">
        <v>0.184894478527607</v>
      </c>
      <c r="F118" s="179">
        <v>0.184894478527607</v>
      </c>
      <c r="G118" s="180">
        <v>0.189933742331288</v>
      </c>
    </row>
    <row r="119" spans="1:7">
      <c r="A119" s="215" t="s">
        <v>218</v>
      </c>
      <c r="B119" s="216">
        <v>89</v>
      </c>
      <c r="C119" s="79">
        <f t="shared" si="1"/>
        <v>81.5</v>
      </c>
      <c r="D119" s="174">
        <v>0.671702247191011</v>
      </c>
      <c r="E119" s="179">
        <v>0.203021348314607</v>
      </c>
      <c r="F119" s="179">
        <v>0.203021348314607</v>
      </c>
      <c r="G119" s="180">
        <v>0.20763595505618</v>
      </c>
    </row>
    <row r="120" spans="1:7">
      <c r="A120" s="215" t="s">
        <v>219</v>
      </c>
      <c r="B120" s="216">
        <v>104.4</v>
      </c>
      <c r="C120" s="79">
        <f t="shared" si="1"/>
        <v>89</v>
      </c>
      <c r="D120" s="174">
        <v>0.720129310344828</v>
      </c>
      <c r="E120" s="179">
        <v>0.232077586206897</v>
      </c>
      <c r="F120" s="179">
        <v>0.232077586206897</v>
      </c>
      <c r="G120" s="180">
        <v>0.236011494252874</v>
      </c>
    </row>
    <row r="121" spans="1:7">
      <c r="A121" s="215" t="s">
        <v>220</v>
      </c>
      <c r="B121" s="216">
        <v>118.7</v>
      </c>
      <c r="C121" s="79">
        <f t="shared" si="1"/>
        <v>104.4</v>
      </c>
      <c r="D121" s="174">
        <v>0.753845829823083</v>
      </c>
      <c r="E121" s="179">
        <v>0.25230749789385</v>
      </c>
      <c r="F121" s="179">
        <v>0.25230749789385</v>
      </c>
      <c r="G121" s="180">
        <v>0.25576748104465</v>
      </c>
    </row>
    <row r="122" spans="1:7">
      <c r="A122" s="215" t="s">
        <v>221</v>
      </c>
      <c r="B122" s="216">
        <v>159.8</v>
      </c>
      <c r="C122" s="79">
        <f t="shared" si="1"/>
        <v>118.7</v>
      </c>
      <c r="D122" s="174">
        <v>0.817155819774718</v>
      </c>
      <c r="E122" s="179">
        <v>0.290293491864831</v>
      </c>
      <c r="F122" s="179">
        <v>0.290293491864831</v>
      </c>
      <c r="G122" s="180">
        <v>0.292863579474343</v>
      </c>
    </row>
    <row r="123" ht="15.75" spans="1:7">
      <c r="A123" s="217" t="s">
        <v>221</v>
      </c>
      <c r="B123" s="218" t="s">
        <v>404</v>
      </c>
      <c r="C123" s="79">
        <f t="shared" si="1"/>
        <v>159.8</v>
      </c>
      <c r="D123" s="183"/>
      <c r="E123" s="184"/>
      <c r="F123" s="184"/>
      <c r="G123" s="185"/>
    </row>
    <row r="124" ht="15.75" spans="1:7">
      <c r="A124" s="186"/>
      <c r="B124" s="219"/>
      <c r="C124" s="78"/>
      <c r="D124" s="220"/>
      <c r="E124" s="221">
        <v>0.0709943740072822</v>
      </c>
      <c r="F124" s="221">
        <v>0.0709943740072822</v>
      </c>
      <c r="G124" s="222">
        <v>0.0746027878947376</v>
      </c>
    </row>
    <row r="125" ht="51" spans="1:7">
      <c r="A125" s="191" t="s">
        <v>233</v>
      </c>
      <c r="B125" s="223">
        <v>52.2</v>
      </c>
      <c r="C125" s="78"/>
      <c r="D125" s="193"/>
      <c r="E125" s="194">
        <v>48.6975</v>
      </c>
      <c r="F125" s="195">
        <v>48.6975</v>
      </c>
      <c r="G125" s="196">
        <v>47.5566666666667</v>
      </c>
    </row>
    <row r="126" ht="52.5" customHeight="1" spans="1:7">
      <c r="A126" s="197" t="s">
        <v>224</v>
      </c>
      <c r="B126" s="224">
        <v>28.8</v>
      </c>
      <c r="C126" s="78"/>
      <c r="D126" s="199"/>
      <c r="E126" s="200"/>
      <c r="F126" s="200"/>
      <c r="G126" s="201"/>
    </row>
    <row r="127" ht="78" customHeight="1" spans="1:7">
      <c r="A127" s="202" t="s">
        <v>225</v>
      </c>
      <c r="B127" s="225">
        <v>17.3</v>
      </c>
      <c r="C127" s="78"/>
      <c r="D127" s="184"/>
      <c r="E127" s="183">
        <v>29.2185</v>
      </c>
      <c r="F127" s="183">
        <v>29.2185</v>
      </c>
      <c r="G127" s="204">
        <v>28.534</v>
      </c>
    </row>
    <row r="128" ht="15.75"/>
    <row r="129" ht="51.75" spans="1:2">
      <c r="A129" s="205" t="s">
        <v>224</v>
      </c>
      <c r="B129" s="166">
        <f>B126</f>
        <v>28.8</v>
      </c>
    </row>
    <row r="130" spans="1:3">
      <c r="A130" s="542" t="s">
        <v>226</v>
      </c>
      <c r="B130" s="207">
        <f>AVERAGE(B78:B117)</f>
        <v>48.6975</v>
      </c>
      <c r="C130" s="95"/>
    </row>
    <row r="131" spans="1:3">
      <c r="A131" s="543" t="s">
        <v>227</v>
      </c>
      <c r="B131" s="209">
        <f>AVERAGE(B83:B112)</f>
        <v>47.5566666666667</v>
      </c>
      <c r="C131" s="96"/>
    </row>
    <row r="132" ht="15.75" spans="1:3">
      <c r="A132" s="544" t="s">
        <v>228</v>
      </c>
      <c r="B132" s="211">
        <f>AVERAGE(B89:B107)</f>
        <v>47.2789473684211</v>
      </c>
      <c r="C132" s="96"/>
    </row>
    <row r="133" ht="15.75"/>
    <row r="134" ht="15.75" spans="1:7">
      <c r="A134" s="155" t="s">
        <v>165</v>
      </c>
      <c r="B134" s="156" t="s">
        <v>347</v>
      </c>
      <c r="C134" s="157"/>
      <c r="D134" s="158"/>
      <c r="E134" s="159">
        <f>(1-E189)^(1/3)-1</f>
        <v>-0.0303859376528356</v>
      </c>
      <c r="F134" s="160">
        <f>(1-F189)^(1/3)-1</f>
        <v>-0.0303859376528356</v>
      </c>
      <c r="G134" s="161"/>
    </row>
    <row r="135" ht="77.25" spans="1:7">
      <c r="A135" s="162"/>
      <c r="B135" s="130" t="s">
        <v>167</v>
      </c>
      <c r="C135" s="107"/>
      <c r="D135" s="130" t="s">
        <v>168</v>
      </c>
      <c r="E135" s="130" t="s">
        <v>169</v>
      </c>
      <c r="F135" s="130" t="s">
        <v>169</v>
      </c>
      <c r="G135" s="130"/>
    </row>
    <row r="136" ht="26.25" spans="1:7">
      <c r="A136" s="163"/>
      <c r="B136" s="164" t="s">
        <v>235</v>
      </c>
      <c r="C136" s="107"/>
      <c r="D136" s="164" t="s">
        <v>171</v>
      </c>
      <c r="E136" s="538" t="s">
        <v>401</v>
      </c>
      <c r="F136" s="539" t="s">
        <v>402</v>
      </c>
      <c r="G136" s="166"/>
    </row>
    <row r="137" ht="15.75" spans="1:7">
      <c r="A137" s="167">
        <v>1</v>
      </c>
      <c r="B137" s="168">
        <v>2</v>
      </c>
      <c r="C137" s="76"/>
      <c r="D137" s="169">
        <v>3</v>
      </c>
      <c r="E137" s="170">
        <v>4</v>
      </c>
      <c r="F137" s="171">
        <v>5</v>
      </c>
      <c r="G137" s="170"/>
    </row>
    <row r="138" spans="1:7">
      <c r="A138" s="540" t="s">
        <v>172</v>
      </c>
      <c r="B138" s="226">
        <v>0.08</v>
      </c>
      <c r="C138" s="112">
        <v>0</v>
      </c>
      <c r="D138" s="174">
        <v>0</v>
      </c>
      <c r="E138" s="175">
        <v>0</v>
      </c>
      <c r="F138" s="175">
        <v>0</v>
      </c>
      <c r="G138" s="176">
        <v>0</v>
      </c>
    </row>
    <row r="139" spans="1:7">
      <c r="A139" s="541" t="s">
        <v>173</v>
      </c>
      <c r="B139" s="227">
        <v>0.18</v>
      </c>
      <c r="C139" s="79">
        <f>B138</f>
        <v>0.08</v>
      </c>
      <c r="D139" s="174">
        <v>0</v>
      </c>
      <c r="E139" s="179">
        <v>0</v>
      </c>
      <c r="F139" s="179">
        <v>0</v>
      </c>
      <c r="G139" s="180">
        <v>0</v>
      </c>
    </row>
    <row r="140" spans="1:7">
      <c r="A140" s="541" t="s">
        <v>174</v>
      </c>
      <c r="B140" s="227">
        <v>0.33</v>
      </c>
      <c r="C140" s="79">
        <f t="shared" ref="C140:C188" si="2">B139</f>
        <v>0.18</v>
      </c>
      <c r="D140" s="174">
        <v>0</v>
      </c>
      <c r="E140" s="179">
        <v>0</v>
      </c>
      <c r="F140" s="179">
        <v>0</v>
      </c>
      <c r="G140" s="180">
        <v>0</v>
      </c>
    </row>
    <row r="141" spans="1:7">
      <c r="A141" s="541" t="s">
        <v>175</v>
      </c>
      <c r="B141" s="227">
        <v>0.48</v>
      </c>
      <c r="C141" s="79">
        <f t="shared" si="2"/>
        <v>0.33</v>
      </c>
      <c r="D141" s="174">
        <v>0</v>
      </c>
      <c r="E141" s="179">
        <v>0</v>
      </c>
      <c r="F141" s="179">
        <v>0</v>
      </c>
      <c r="G141" s="180">
        <v>0</v>
      </c>
    </row>
    <row r="142" spans="1:7">
      <c r="A142" s="541" t="s">
        <v>176</v>
      </c>
      <c r="B142" s="227">
        <v>0.62</v>
      </c>
      <c r="C142" s="79">
        <f t="shared" si="2"/>
        <v>0.48</v>
      </c>
      <c r="D142" s="174">
        <v>0</v>
      </c>
      <c r="E142" s="179">
        <v>0</v>
      </c>
      <c r="F142" s="179">
        <v>0</v>
      </c>
      <c r="G142" s="180">
        <v>0</v>
      </c>
    </row>
    <row r="143" spans="1:7">
      <c r="A143" s="541" t="s">
        <v>177</v>
      </c>
      <c r="B143" s="227">
        <v>0.73</v>
      </c>
      <c r="C143" s="79">
        <f t="shared" si="2"/>
        <v>0.62</v>
      </c>
      <c r="D143" s="174">
        <v>0</v>
      </c>
      <c r="E143" s="179">
        <v>0</v>
      </c>
      <c r="F143" s="179">
        <v>0</v>
      </c>
      <c r="G143" s="180">
        <v>0</v>
      </c>
    </row>
    <row r="144" spans="1:7">
      <c r="A144" s="541" t="s">
        <v>178</v>
      </c>
      <c r="B144" s="227">
        <v>0.86</v>
      </c>
      <c r="C144" s="79">
        <f t="shared" si="2"/>
        <v>0.73</v>
      </c>
      <c r="D144" s="174">
        <v>0</v>
      </c>
      <c r="E144" s="179">
        <v>0</v>
      </c>
      <c r="F144" s="179">
        <v>0</v>
      </c>
      <c r="G144" s="180">
        <v>0</v>
      </c>
    </row>
    <row r="145" spans="1:7">
      <c r="A145" s="177" t="s">
        <v>179</v>
      </c>
      <c r="B145" s="227">
        <v>0.94</v>
      </c>
      <c r="C145" s="79">
        <f t="shared" si="2"/>
        <v>0.86</v>
      </c>
      <c r="D145" s="174">
        <v>0</v>
      </c>
      <c r="E145" s="179">
        <v>0</v>
      </c>
      <c r="F145" s="179">
        <v>0</v>
      </c>
      <c r="G145" s="180">
        <v>0</v>
      </c>
    </row>
    <row r="146" spans="1:7">
      <c r="A146" s="177" t="s">
        <v>180</v>
      </c>
      <c r="B146" s="227">
        <v>0.99</v>
      </c>
      <c r="C146" s="79">
        <f t="shared" si="2"/>
        <v>0.94</v>
      </c>
      <c r="D146" s="174">
        <v>0</v>
      </c>
      <c r="E146" s="179">
        <v>0</v>
      </c>
      <c r="F146" s="179">
        <v>0</v>
      </c>
      <c r="G146" s="180">
        <v>0</v>
      </c>
    </row>
    <row r="147" spans="1:7">
      <c r="A147" s="177" t="s">
        <v>181</v>
      </c>
      <c r="B147" s="227">
        <v>1.02</v>
      </c>
      <c r="C147" s="79">
        <f t="shared" si="2"/>
        <v>0.99</v>
      </c>
      <c r="D147" s="174">
        <v>0</v>
      </c>
      <c r="E147" s="179">
        <v>0</v>
      </c>
      <c r="F147" s="179">
        <v>0</v>
      </c>
      <c r="G147" s="180">
        <v>0</v>
      </c>
    </row>
    <row r="148" spans="1:7">
      <c r="A148" s="177" t="s">
        <v>182</v>
      </c>
      <c r="B148" s="227">
        <v>1.09</v>
      </c>
      <c r="C148" s="79">
        <f t="shared" si="2"/>
        <v>1.02</v>
      </c>
      <c r="D148" s="174">
        <v>0</v>
      </c>
      <c r="E148" s="179">
        <v>0</v>
      </c>
      <c r="F148" s="179">
        <v>0</v>
      </c>
      <c r="G148" s="180">
        <v>0</v>
      </c>
    </row>
    <row r="149" spans="1:7">
      <c r="A149" s="177" t="s">
        <v>183</v>
      </c>
      <c r="B149" s="227">
        <v>1.14</v>
      </c>
      <c r="C149" s="79">
        <f t="shared" si="2"/>
        <v>1.09</v>
      </c>
      <c r="D149" s="174">
        <v>0</v>
      </c>
      <c r="E149" s="179">
        <v>0</v>
      </c>
      <c r="F149" s="179">
        <v>0</v>
      </c>
      <c r="G149" s="180">
        <v>0</v>
      </c>
    </row>
    <row r="150" spans="1:7">
      <c r="A150" s="177" t="s">
        <v>184</v>
      </c>
      <c r="B150" s="227">
        <v>1.19</v>
      </c>
      <c r="C150" s="79">
        <f t="shared" si="2"/>
        <v>1.14</v>
      </c>
      <c r="D150" s="174">
        <v>0</v>
      </c>
      <c r="E150" s="179">
        <v>0</v>
      </c>
      <c r="F150" s="179">
        <v>0</v>
      </c>
      <c r="G150" s="180">
        <v>0</v>
      </c>
    </row>
    <row r="151" spans="1:7">
      <c r="A151" s="177" t="s">
        <v>185</v>
      </c>
      <c r="B151" s="227">
        <v>1.25</v>
      </c>
      <c r="C151" s="79">
        <f t="shared" si="2"/>
        <v>1.19</v>
      </c>
      <c r="D151" s="174">
        <v>0</v>
      </c>
      <c r="E151" s="179">
        <v>0</v>
      </c>
      <c r="F151" s="179">
        <v>0</v>
      </c>
      <c r="G151" s="180">
        <v>0</v>
      </c>
    </row>
    <row r="152" spans="1:7">
      <c r="A152" s="177" t="s">
        <v>186</v>
      </c>
      <c r="B152" s="227">
        <v>1.34</v>
      </c>
      <c r="C152" s="79">
        <f t="shared" si="2"/>
        <v>1.25</v>
      </c>
      <c r="D152" s="174">
        <v>0</v>
      </c>
      <c r="E152" s="179">
        <v>0</v>
      </c>
      <c r="F152" s="179">
        <v>0</v>
      </c>
      <c r="G152" s="180">
        <v>0</v>
      </c>
    </row>
    <row r="153" spans="1:7">
      <c r="A153" s="177" t="s">
        <v>187</v>
      </c>
      <c r="B153" s="227">
        <v>1.4</v>
      </c>
      <c r="C153" s="79">
        <f t="shared" si="2"/>
        <v>1.34</v>
      </c>
      <c r="D153" s="174">
        <v>0</v>
      </c>
      <c r="E153" s="179">
        <v>0</v>
      </c>
      <c r="F153" s="179">
        <v>0</v>
      </c>
      <c r="G153" s="180">
        <v>0.000642857142857151</v>
      </c>
    </row>
    <row r="154" spans="1:7">
      <c r="A154" s="177" t="s">
        <v>188</v>
      </c>
      <c r="B154" s="227">
        <v>1.42</v>
      </c>
      <c r="C154" s="79">
        <f t="shared" si="2"/>
        <v>1.4</v>
      </c>
      <c r="D154" s="174">
        <v>0</v>
      </c>
      <c r="E154" s="179">
        <v>0</v>
      </c>
      <c r="F154" s="179">
        <v>0</v>
      </c>
      <c r="G154" s="180">
        <v>0.00204225352112677</v>
      </c>
    </row>
    <row r="155" spans="1:7">
      <c r="A155" s="177" t="s">
        <v>189</v>
      </c>
      <c r="B155" s="227">
        <v>1.49</v>
      </c>
      <c r="C155" s="79">
        <f t="shared" si="2"/>
        <v>1.42</v>
      </c>
      <c r="D155" s="174">
        <v>0</v>
      </c>
      <c r="E155" s="179">
        <v>0</v>
      </c>
      <c r="F155" s="179">
        <v>0</v>
      </c>
      <c r="G155" s="180">
        <v>0.00664429530201344</v>
      </c>
    </row>
    <row r="156" spans="1:7">
      <c r="A156" s="177" t="s">
        <v>190</v>
      </c>
      <c r="B156" s="227">
        <v>1.55</v>
      </c>
      <c r="C156" s="79">
        <f t="shared" si="2"/>
        <v>1.49</v>
      </c>
      <c r="D156" s="174">
        <v>0.029741935483871</v>
      </c>
      <c r="E156" s="179"/>
      <c r="F156" s="179">
        <v>0.0029741935483871</v>
      </c>
      <c r="G156" s="180">
        <v>0.010258064516129</v>
      </c>
    </row>
    <row r="157" spans="1:7">
      <c r="A157" s="177" t="s">
        <v>191</v>
      </c>
      <c r="B157" s="227">
        <v>1.62</v>
      </c>
      <c r="C157" s="79">
        <f t="shared" si="2"/>
        <v>1.55</v>
      </c>
      <c r="D157" s="174">
        <v>0.0716666666666667</v>
      </c>
      <c r="E157" s="179"/>
      <c r="F157" s="179">
        <v>0.00716666666666667</v>
      </c>
      <c r="G157" s="180">
        <v>0.0141358024691358</v>
      </c>
    </row>
    <row r="158" spans="1:7">
      <c r="A158" s="177" t="s">
        <v>192</v>
      </c>
      <c r="B158" s="227">
        <v>1.71</v>
      </c>
      <c r="C158" s="79">
        <f t="shared" si="2"/>
        <v>1.62</v>
      </c>
      <c r="D158" s="174">
        <v>0.120526315789474</v>
      </c>
      <c r="E158" s="179">
        <v>0.0120526315789474</v>
      </c>
      <c r="F158" s="179">
        <v>0.0120526315789474</v>
      </c>
      <c r="G158" s="180">
        <v>0.0186549707602339</v>
      </c>
    </row>
    <row r="159" spans="1:7">
      <c r="A159" s="177" t="s">
        <v>193</v>
      </c>
      <c r="B159" s="227">
        <v>1.75</v>
      </c>
      <c r="C159" s="79">
        <f t="shared" si="2"/>
        <v>1.71</v>
      </c>
      <c r="D159" s="174">
        <v>0.140628571428571</v>
      </c>
      <c r="E159" s="179">
        <v>0.0140628571428571</v>
      </c>
      <c r="F159" s="179">
        <v>0.0140628571428571</v>
      </c>
      <c r="G159" s="180">
        <v>0.0205142857142857</v>
      </c>
    </row>
    <row r="160" spans="1:7">
      <c r="A160" s="177" t="s">
        <v>194</v>
      </c>
      <c r="B160" s="227">
        <v>1.85</v>
      </c>
      <c r="C160" s="79">
        <f t="shared" si="2"/>
        <v>1.75</v>
      </c>
      <c r="D160" s="174">
        <v>0.187081081081081</v>
      </c>
      <c r="E160" s="179">
        <v>0.0187081081081081</v>
      </c>
      <c r="F160" s="179">
        <v>0.0187081081081081</v>
      </c>
      <c r="G160" s="180">
        <v>0.0248108108108108</v>
      </c>
    </row>
    <row r="161" spans="1:7">
      <c r="A161" s="177" t="s">
        <v>195</v>
      </c>
      <c r="B161" s="227">
        <v>1.93</v>
      </c>
      <c r="C161" s="79">
        <f t="shared" si="2"/>
        <v>1.85</v>
      </c>
      <c r="D161" s="174">
        <v>0.220777202072539</v>
      </c>
      <c r="E161" s="179">
        <v>0.0220777202072539</v>
      </c>
      <c r="F161" s="179">
        <v>0.0220777202072539</v>
      </c>
      <c r="G161" s="180">
        <v>0.0279274611398964</v>
      </c>
    </row>
    <row r="162" spans="1:7">
      <c r="A162" s="177" t="s">
        <v>196</v>
      </c>
      <c r="B162" s="227">
        <v>2.08</v>
      </c>
      <c r="C162" s="79">
        <f t="shared" si="2"/>
        <v>1.93</v>
      </c>
      <c r="D162" s="174">
        <v>0.276971153846154</v>
      </c>
      <c r="E162" s="179">
        <v>0.0276971153846154</v>
      </c>
      <c r="F162" s="179">
        <v>0.0276971153846154</v>
      </c>
      <c r="G162" s="180">
        <v>0.033125</v>
      </c>
    </row>
    <row r="163" spans="1:7">
      <c r="A163" s="177" t="s">
        <v>197</v>
      </c>
      <c r="B163" s="227">
        <v>2.22</v>
      </c>
      <c r="C163" s="79">
        <f t="shared" si="2"/>
        <v>2.08</v>
      </c>
      <c r="D163" s="174">
        <v>0.322567567567568</v>
      </c>
      <c r="E163" s="179">
        <v>0.0322567567567568</v>
      </c>
      <c r="F163" s="179">
        <v>0.0322567567567568</v>
      </c>
      <c r="G163" s="180">
        <v>0.0373423423423424</v>
      </c>
    </row>
    <row r="164" spans="1:7">
      <c r="A164" s="177" t="s">
        <v>198</v>
      </c>
      <c r="B164" s="227">
        <v>2.32</v>
      </c>
      <c r="C164" s="79">
        <f t="shared" si="2"/>
        <v>2.22</v>
      </c>
      <c r="D164" s="174">
        <v>0.35176724137931</v>
      </c>
      <c r="E164" s="179">
        <v>0.035176724137931</v>
      </c>
      <c r="F164" s="179">
        <v>0.035176724137931</v>
      </c>
      <c r="G164" s="180">
        <v>0.0402586206896552</v>
      </c>
    </row>
    <row r="165" spans="1:7">
      <c r="A165" s="177" t="s">
        <v>199</v>
      </c>
      <c r="B165" s="227">
        <v>2.45</v>
      </c>
      <c r="C165" s="79">
        <f t="shared" si="2"/>
        <v>2.32</v>
      </c>
      <c r="D165" s="174">
        <v>0.386163265306122</v>
      </c>
      <c r="E165" s="179">
        <v>0.0386163265306123</v>
      </c>
      <c r="F165" s="179">
        <v>0.0386163265306123</v>
      </c>
      <c r="G165" s="180">
        <v>0.0593469387755103</v>
      </c>
    </row>
    <row r="166" spans="1:7">
      <c r="A166" s="177" t="s">
        <v>200</v>
      </c>
      <c r="B166" s="227">
        <v>2.57</v>
      </c>
      <c r="C166" s="79">
        <f t="shared" si="2"/>
        <v>2.45</v>
      </c>
      <c r="D166" s="174">
        <v>0.414824902723735</v>
      </c>
      <c r="E166" s="179">
        <v>0.0488949416342412</v>
      </c>
      <c r="F166" s="179">
        <v>0.0488949416342412</v>
      </c>
      <c r="G166" s="180">
        <v>0.0752529182879378</v>
      </c>
    </row>
    <row r="167" spans="1:7">
      <c r="A167" s="177" t="s">
        <v>201</v>
      </c>
      <c r="B167" s="227">
        <v>2.72</v>
      </c>
      <c r="C167" s="79">
        <f t="shared" si="2"/>
        <v>2.57</v>
      </c>
      <c r="D167" s="174">
        <v>0.447095588235294</v>
      </c>
      <c r="E167" s="179">
        <v>0.0682573529411765</v>
      </c>
      <c r="F167" s="179">
        <v>0.0682573529411765</v>
      </c>
      <c r="G167" s="180">
        <v>0.0931617647058824</v>
      </c>
    </row>
    <row r="168" spans="1:7">
      <c r="A168" s="177" t="s">
        <v>202</v>
      </c>
      <c r="B168" s="227">
        <v>2.85</v>
      </c>
      <c r="C168" s="79">
        <f t="shared" si="2"/>
        <v>2.72</v>
      </c>
      <c r="D168" s="174">
        <v>0.472315789473684</v>
      </c>
      <c r="E168" s="179">
        <v>0.0833894736842105</v>
      </c>
      <c r="F168" s="179">
        <v>0.0833894736842105</v>
      </c>
      <c r="G168" s="180">
        <v>0.107157894736842</v>
      </c>
    </row>
    <row r="169" spans="1:7">
      <c r="A169" s="177" t="s">
        <v>203</v>
      </c>
      <c r="B169" s="227">
        <v>2.94</v>
      </c>
      <c r="C169" s="79">
        <f t="shared" si="2"/>
        <v>2.85</v>
      </c>
      <c r="D169" s="174">
        <v>0.488469387755102</v>
      </c>
      <c r="E169" s="179">
        <v>0.0930816326530612</v>
      </c>
      <c r="F169" s="179">
        <v>0.0930816326530612</v>
      </c>
      <c r="G169" s="180">
        <v>0.116122448979592</v>
      </c>
    </row>
    <row r="170" spans="1:7">
      <c r="A170" s="177" t="s">
        <v>204</v>
      </c>
      <c r="B170" s="227">
        <v>3.05</v>
      </c>
      <c r="C170" s="79">
        <f t="shared" si="2"/>
        <v>2.94</v>
      </c>
      <c r="D170" s="174">
        <v>0.506918032786885</v>
      </c>
      <c r="E170" s="179">
        <v>0.104150819672131</v>
      </c>
      <c r="F170" s="179">
        <v>0.104150819672131</v>
      </c>
      <c r="G170" s="180">
        <v>0.126360655737705</v>
      </c>
    </row>
    <row r="171" spans="1:7">
      <c r="A171" s="177" t="s">
        <v>205</v>
      </c>
      <c r="B171" s="227">
        <v>3.22</v>
      </c>
      <c r="C171" s="79">
        <f t="shared" si="2"/>
        <v>3.05</v>
      </c>
      <c r="D171" s="174">
        <v>0.532950310559006</v>
      </c>
      <c r="E171" s="179">
        <v>0.119770186335404</v>
      </c>
      <c r="F171" s="179">
        <v>0.119770186335404</v>
      </c>
      <c r="G171" s="180">
        <v>0.140807453416149</v>
      </c>
    </row>
    <row r="172" spans="1:7">
      <c r="A172" s="177" t="s">
        <v>206</v>
      </c>
      <c r="B172" s="227">
        <v>3.28</v>
      </c>
      <c r="C172" s="79">
        <f t="shared" si="2"/>
        <v>3.22</v>
      </c>
      <c r="D172" s="174">
        <v>0.541493902439024</v>
      </c>
      <c r="E172" s="179">
        <v>0.124896341463415</v>
      </c>
      <c r="F172" s="179">
        <v>0.124896341463415</v>
      </c>
      <c r="G172" s="180">
        <v>0.145548780487805</v>
      </c>
    </row>
    <row r="173" spans="1:7">
      <c r="A173" s="177" t="s">
        <v>207</v>
      </c>
      <c r="B173" s="227">
        <v>3.4</v>
      </c>
      <c r="C173" s="79">
        <f t="shared" si="2"/>
        <v>3.28</v>
      </c>
      <c r="D173" s="174">
        <v>0.557676470588235</v>
      </c>
      <c r="E173" s="179">
        <v>0.134605882352941</v>
      </c>
      <c r="F173" s="179">
        <v>0.134605882352941</v>
      </c>
      <c r="G173" s="180">
        <v>0.154529411764706</v>
      </c>
    </row>
    <row r="174" spans="1:7">
      <c r="A174" s="177" t="s">
        <v>208</v>
      </c>
      <c r="B174" s="227">
        <v>3.69</v>
      </c>
      <c r="C174" s="79">
        <f t="shared" si="2"/>
        <v>3.4</v>
      </c>
      <c r="D174" s="174">
        <v>0.592439024390244</v>
      </c>
      <c r="E174" s="179">
        <v>0.155463414634146</v>
      </c>
      <c r="F174" s="179">
        <v>0.155463414634146</v>
      </c>
      <c r="G174" s="180">
        <v>0.173821138211382</v>
      </c>
    </row>
    <row r="175" spans="1:7">
      <c r="A175" s="177" t="s">
        <v>209</v>
      </c>
      <c r="B175" s="227">
        <v>3.83</v>
      </c>
      <c r="C175" s="79">
        <f t="shared" si="2"/>
        <v>3.69</v>
      </c>
      <c r="D175" s="174">
        <v>0.60733681462141</v>
      </c>
      <c r="E175" s="179">
        <v>0.164402088772846</v>
      </c>
      <c r="F175" s="179">
        <v>0.164402088772846</v>
      </c>
      <c r="G175" s="180">
        <v>0.182088772845953</v>
      </c>
    </row>
    <row r="176" spans="1:7">
      <c r="A176" s="177" t="s">
        <v>210</v>
      </c>
      <c r="B176" s="227">
        <v>3.99</v>
      </c>
      <c r="C176" s="79">
        <f t="shared" si="2"/>
        <v>3.83</v>
      </c>
      <c r="D176" s="174">
        <v>0.623082706766917</v>
      </c>
      <c r="E176" s="179">
        <v>0.17384962406015</v>
      </c>
      <c r="F176" s="179">
        <v>0.17384962406015</v>
      </c>
      <c r="G176" s="180">
        <v>0.190827067669173</v>
      </c>
    </row>
    <row r="177" spans="1:7">
      <c r="A177" s="177" t="s">
        <v>211</v>
      </c>
      <c r="B177" s="227">
        <v>4.21</v>
      </c>
      <c r="C177" s="79">
        <f t="shared" si="2"/>
        <v>3.99</v>
      </c>
      <c r="D177" s="174">
        <v>0.642779097387173</v>
      </c>
      <c r="E177" s="179">
        <v>0.185667458432304</v>
      </c>
      <c r="F177" s="179">
        <v>0.185667458432304</v>
      </c>
      <c r="G177" s="180">
        <v>0.201757719714964</v>
      </c>
    </row>
    <row r="178" spans="1:7">
      <c r="A178" s="177" t="s">
        <v>212</v>
      </c>
      <c r="B178" s="227">
        <v>4.42</v>
      </c>
      <c r="C178" s="79">
        <f t="shared" si="2"/>
        <v>4.21</v>
      </c>
      <c r="D178" s="174">
        <v>0.659751131221719</v>
      </c>
      <c r="E178" s="179">
        <v>0.195850678733032</v>
      </c>
      <c r="F178" s="179">
        <v>0.195850678733032</v>
      </c>
      <c r="G178" s="180">
        <v>0.211176470588235</v>
      </c>
    </row>
    <row r="179" spans="1:7">
      <c r="A179" s="177" t="s">
        <v>213</v>
      </c>
      <c r="B179" s="227">
        <v>4.56</v>
      </c>
      <c r="C179" s="79">
        <f t="shared" si="2"/>
        <v>4.42</v>
      </c>
      <c r="D179" s="174">
        <v>0.670197368421053</v>
      </c>
      <c r="E179" s="179">
        <v>0.202118421052632</v>
      </c>
      <c r="F179" s="179">
        <v>0.202118421052632</v>
      </c>
      <c r="G179" s="180">
        <v>0.216973684210526</v>
      </c>
    </row>
    <row r="180" spans="1:7">
      <c r="A180" s="177" t="s">
        <v>214</v>
      </c>
      <c r="B180" s="227">
        <v>4.86</v>
      </c>
      <c r="C180" s="79">
        <f t="shared" si="2"/>
        <v>4.56</v>
      </c>
      <c r="D180" s="174">
        <v>0.690555555555556</v>
      </c>
      <c r="E180" s="179">
        <v>0.214333333333333</v>
      </c>
      <c r="F180" s="179">
        <v>0.214333333333333</v>
      </c>
      <c r="G180" s="180">
        <v>0.228271604938272</v>
      </c>
    </row>
    <row r="181" spans="1:7">
      <c r="A181" s="177" t="s">
        <v>215</v>
      </c>
      <c r="B181" s="227">
        <v>5.62</v>
      </c>
      <c r="C181" s="79">
        <f t="shared" si="2"/>
        <v>4.86</v>
      </c>
      <c r="D181" s="174">
        <v>0.732402135231317</v>
      </c>
      <c r="E181" s="179">
        <v>0.23944128113879</v>
      </c>
      <c r="F181" s="179">
        <v>0.23944128113879</v>
      </c>
      <c r="G181" s="180">
        <v>0.251494661921708</v>
      </c>
    </row>
    <row r="182" spans="1:7">
      <c r="A182" s="177" t="s">
        <v>216</v>
      </c>
      <c r="B182" s="227">
        <v>6.71</v>
      </c>
      <c r="C182" s="79">
        <f t="shared" si="2"/>
        <v>5.62</v>
      </c>
      <c r="D182" s="174">
        <v>0.775871833084948</v>
      </c>
      <c r="E182" s="179">
        <v>0.265523099850969</v>
      </c>
      <c r="F182" s="179">
        <v>0.265523099850969</v>
      </c>
      <c r="G182" s="180">
        <v>0.275618479880775</v>
      </c>
    </row>
    <row r="183" spans="1:7">
      <c r="A183" s="177" t="s">
        <v>217</v>
      </c>
      <c r="B183" s="227">
        <v>7.54</v>
      </c>
      <c r="C183" s="79">
        <f t="shared" si="2"/>
        <v>6.71</v>
      </c>
      <c r="D183" s="174">
        <v>0.800543766578249</v>
      </c>
      <c r="E183" s="179">
        <v>0.28032625994695</v>
      </c>
      <c r="F183" s="179">
        <v>0.28032625994695</v>
      </c>
      <c r="G183" s="180">
        <v>0.289310344827586</v>
      </c>
    </row>
    <row r="184" spans="1:7">
      <c r="A184" s="177" t="s">
        <v>218</v>
      </c>
      <c r="B184" s="227">
        <v>9.11</v>
      </c>
      <c r="C184" s="79">
        <f t="shared" si="2"/>
        <v>7.54</v>
      </c>
      <c r="D184" s="174">
        <v>0.834917672886937</v>
      </c>
      <c r="E184" s="179">
        <v>0.300950603732162</v>
      </c>
      <c r="F184" s="179">
        <v>0.300950603732162</v>
      </c>
      <c r="G184" s="180">
        <v>0.308386388583974</v>
      </c>
    </row>
    <row r="185" spans="1:7">
      <c r="A185" s="177" t="s">
        <v>219</v>
      </c>
      <c r="B185" s="227">
        <v>12.26</v>
      </c>
      <c r="C185" s="79">
        <f t="shared" si="2"/>
        <v>9.11</v>
      </c>
      <c r="D185" s="174">
        <v>0.877332789559543</v>
      </c>
      <c r="E185" s="179">
        <v>0.326399673735726</v>
      </c>
      <c r="F185" s="179">
        <v>0.326399673735726</v>
      </c>
      <c r="G185" s="180">
        <v>0.331924959216966</v>
      </c>
    </row>
    <row r="186" spans="1:7">
      <c r="A186" s="177" t="s">
        <v>220</v>
      </c>
      <c r="B186" s="227">
        <v>19.36</v>
      </c>
      <c r="C186" s="79">
        <f t="shared" si="2"/>
        <v>12.26</v>
      </c>
      <c r="D186" s="174">
        <v>0.922319214876033</v>
      </c>
      <c r="E186" s="179">
        <v>0.35339152892562</v>
      </c>
      <c r="F186" s="179">
        <v>0.35339152892562</v>
      </c>
      <c r="G186" s="180">
        <v>0.356890495867769</v>
      </c>
    </row>
    <row r="187" spans="1:7">
      <c r="A187" s="177" t="s">
        <v>221</v>
      </c>
      <c r="B187" s="227">
        <v>36.45</v>
      </c>
      <c r="C187" s="79">
        <f t="shared" si="2"/>
        <v>19.36</v>
      </c>
      <c r="D187" s="174">
        <v>0.958740740740741</v>
      </c>
      <c r="E187" s="179">
        <v>0.375244444444444</v>
      </c>
      <c r="F187" s="179">
        <v>0.375244444444444</v>
      </c>
      <c r="G187" s="180">
        <v>0.377102880658436</v>
      </c>
    </row>
    <row r="188" ht="15.75" spans="1:7">
      <c r="A188" s="181" t="s">
        <v>221</v>
      </c>
      <c r="B188" s="228" t="s">
        <v>405</v>
      </c>
      <c r="C188" s="79">
        <f t="shared" si="2"/>
        <v>36.45</v>
      </c>
      <c r="D188" s="184"/>
      <c r="E188" s="184"/>
      <c r="F188" s="184"/>
      <c r="G188" s="185"/>
    </row>
    <row r="189" ht="15.75" spans="1:7">
      <c r="A189" s="186"/>
      <c r="B189" s="187">
        <v>5.4</v>
      </c>
      <c r="C189" s="116"/>
      <c r="D189" s="188"/>
      <c r="E189" s="189">
        <v>0.0884159528318364</v>
      </c>
      <c r="F189" s="189">
        <v>0.0884159528318364</v>
      </c>
      <c r="G189" s="190">
        <v>0.0970057940087267</v>
      </c>
    </row>
    <row r="190" ht="51.75" spans="1:7">
      <c r="A190" s="191" t="s">
        <v>233</v>
      </c>
      <c r="B190" s="223">
        <v>1.79</v>
      </c>
      <c r="C190" s="116"/>
      <c r="D190" s="193"/>
      <c r="E190" s="229">
        <v>2.5065</v>
      </c>
      <c r="F190" s="230">
        <v>2.5065</v>
      </c>
      <c r="G190" s="231">
        <v>2.31833333333333</v>
      </c>
    </row>
    <row r="191" ht="51.75" spans="1:7">
      <c r="A191" s="197" t="s">
        <v>224</v>
      </c>
      <c r="B191" s="224">
        <v>7.89</v>
      </c>
      <c r="C191" s="116"/>
      <c r="D191" s="199"/>
      <c r="E191" s="232"/>
      <c r="F191" s="232"/>
      <c r="G191" s="233"/>
    </row>
    <row r="192" ht="77.25" spans="1:7">
      <c r="A192" s="202" t="s">
        <v>225</v>
      </c>
      <c r="B192" s="225">
        <v>1.07</v>
      </c>
      <c r="C192" s="116"/>
      <c r="D192" s="184"/>
      <c r="E192" s="234">
        <v>1.5039</v>
      </c>
      <c r="F192" s="234">
        <v>1.5039</v>
      </c>
      <c r="G192" s="235">
        <v>1.391</v>
      </c>
    </row>
    <row r="193" ht="15.75"/>
    <row r="194" ht="51.75" spans="1:2">
      <c r="A194" s="205" t="s">
        <v>224</v>
      </c>
      <c r="B194" s="166">
        <f>B191</f>
        <v>7.89</v>
      </c>
    </row>
    <row r="195" spans="1:3">
      <c r="A195" s="542" t="s">
        <v>226</v>
      </c>
      <c r="B195" s="236">
        <f>AVERAGE(B143:B182)</f>
        <v>2.5065</v>
      </c>
      <c r="C195" s="95"/>
    </row>
    <row r="196" spans="1:3">
      <c r="A196" s="543" t="s">
        <v>227</v>
      </c>
      <c r="B196" s="237">
        <f>AVERAGE(B148:B177)</f>
        <v>2.31833333333333</v>
      </c>
      <c r="C196" s="96"/>
    </row>
    <row r="197" ht="15.75" spans="1:3">
      <c r="A197" s="544" t="s">
        <v>228</v>
      </c>
      <c r="B197" s="238">
        <f>AVERAGE(B154:B172)</f>
        <v>2.26421052631579</v>
      </c>
      <c r="C197" s="96"/>
    </row>
    <row r="199" ht="15.75"/>
    <row r="200" customHeight="1" spans="1:7">
      <c r="A200" s="155" t="s">
        <v>165</v>
      </c>
      <c r="B200" s="156" t="s">
        <v>234</v>
      </c>
      <c r="C200" s="157"/>
      <c r="D200" s="158"/>
      <c r="E200" s="159">
        <f>(1-E255)^(1/3)-1</f>
        <v>-0.0278432278427612</v>
      </c>
      <c r="F200" s="160">
        <f>(1-F255)^(1/3)-1</f>
        <v>-0.0278432278427612</v>
      </c>
      <c r="G200" s="161"/>
    </row>
    <row r="201" ht="77.25" spans="1:7">
      <c r="A201" s="162"/>
      <c r="B201" s="130" t="s">
        <v>167</v>
      </c>
      <c r="C201" s="83"/>
      <c r="D201" s="130" t="s">
        <v>168</v>
      </c>
      <c r="E201" s="130" t="s">
        <v>169</v>
      </c>
      <c r="F201" s="130" t="s">
        <v>169</v>
      </c>
      <c r="G201" s="130"/>
    </row>
    <row r="202" ht="26.25" spans="1:7">
      <c r="A202" s="163"/>
      <c r="B202" s="164" t="s">
        <v>235</v>
      </c>
      <c r="C202" s="83"/>
      <c r="D202" s="164" t="s">
        <v>171</v>
      </c>
      <c r="E202" s="538" t="s">
        <v>401</v>
      </c>
      <c r="F202" s="539" t="s">
        <v>402</v>
      </c>
      <c r="G202" s="166"/>
    </row>
    <row r="203" ht="15.75" spans="1:7">
      <c r="A203" s="167">
        <v>1</v>
      </c>
      <c r="B203" s="212">
        <v>2</v>
      </c>
      <c r="C203" s="76"/>
      <c r="D203" s="131">
        <v>3</v>
      </c>
      <c r="E203" s="169">
        <v>4</v>
      </c>
      <c r="F203" s="131">
        <v>5</v>
      </c>
      <c r="G203" s="169"/>
    </row>
    <row r="204" spans="1:7">
      <c r="A204" s="545" t="s">
        <v>172</v>
      </c>
      <c r="B204" s="214">
        <v>1.2</v>
      </c>
      <c r="C204" s="89">
        <v>0</v>
      </c>
      <c r="D204" s="174">
        <v>0</v>
      </c>
      <c r="E204" s="175">
        <v>0</v>
      </c>
      <c r="F204" s="175">
        <v>0</v>
      </c>
      <c r="G204" s="176">
        <v>0</v>
      </c>
    </row>
    <row r="205" spans="1:7">
      <c r="A205" s="546" t="s">
        <v>173</v>
      </c>
      <c r="B205" s="216">
        <v>1.8</v>
      </c>
      <c r="C205" s="79">
        <f>B204</f>
        <v>1.2</v>
      </c>
      <c r="D205" s="174">
        <v>0</v>
      </c>
      <c r="E205" s="179">
        <v>0</v>
      </c>
      <c r="F205" s="179">
        <v>0</v>
      </c>
      <c r="G205" s="180">
        <v>0</v>
      </c>
    </row>
    <row r="206" spans="1:7">
      <c r="A206" s="546" t="s">
        <v>174</v>
      </c>
      <c r="B206" s="216">
        <v>2.2</v>
      </c>
      <c r="C206" s="79">
        <f t="shared" ref="C206:C254" si="3">B205</f>
        <v>1.8</v>
      </c>
      <c r="D206" s="174">
        <v>0</v>
      </c>
      <c r="E206" s="179">
        <v>0</v>
      </c>
      <c r="F206" s="179">
        <v>0</v>
      </c>
      <c r="G206" s="180">
        <v>0</v>
      </c>
    </row>
    <row r="207" spans="1:7">
      <c r="A207" s="546" t="s">
        <v>175</v>
      </c>
      <c r="B207" s="216">
        <v>2.4</v>
      </c>
      <c r="C207" s="79">
        <f t="shared" si="3"/>
        <v>2.2</v>
      </c>
      <c r="D207" s="174">
        <v>0</v>
      </c>
      <c r="E207" s="179">
        <v>0</v>
      </c>
      <c r="F207" s="179">
        <v>0</v>
      </c>
      <c r="G207" s="180">
        <v>0</v>
      </c>
    </row>
    <row r="208" spans="1:7">
      <c r="A208" s="546" t="s">
        <v>176</v>
      </c>
      <c r="B208" s="216">
        <v>2.5</v>
      </c>
      <c r="C208" s="79">
        <f t="shared" si="3"/>
        <v>2.4</v>
      </c>
      <c r="D208" s="174">
        <v>0</v>
      </c>
      <c r="E208" s="179">
        <v>0</v>
      </c>
      <c r="F208" s="179">
        <v>0</v>
      </c>
      <c r="G208" s="180">
        <v>0</v>
      </c>
    </row>
    <row r="209" spans="1:7">
      <c r="A209" s="546" t="s">
        <v>177</v>
      </c>
      <c r="B209" s="216">
        <v>2.7</v>
      </c>
      <c r="C209" s="79">
        <f t="shared" si="3"/>
        <v>2.5</v>
      </c>
      <c r="D209" s="174">
        <v>0</v>
      </c>
      <c r="E209" s="179">
        <v>0</v>
      </c>
      <c r="F209" s="179">
        <v>0</v>
      </c>
      <c r="G209" s="180">
        <v>0</v>
      </c>
    </row>
    <row r="210" spans="1:7">
      <c r="A210" s="546" t="s">
        <v>178</v>
      </c>
      <c r="B210" s="216">
        <v>3.1</v>
      </c>
      <c r="C210" s="79">
        <f t="shared" si="3"/>
        <v>2.7</v>
      </c>
      <c r="D210" s="174">
        <v>0</v>
      </c>
      <c r="E210" s="179">
        <v>0</v>
      </c>
      <c r="F210" s="179">
        <v>0</v>
      </c>
      <c r="G210" s="180">
        <v>0</v>
      </c>
    </row>
    <row r="211" spans="1:7">
      <c r="A211" s="215" t="s">
        <v>179</v>
      </c>
      <c r="B211" s="216">
        <v>3.4</v>
      </c>
      <c r="C211" s="79">
        <f t="shared" si="3"/>
        <v>3.1</v>
      </c>
      <c r="D211" s="174">
        <v>0</v>
      </c>
      <c r="E211" s="179">
        <v>0</v>
      </c>
      <c r="F211" s="179">
        <v>0</v>
      </c>
      <c r="G211" s="180">
        <v>0</v>
      </c>
    </row>
    <row r="212" spans="1:7">
      <c r="A212" s="215" t="s">
        <v>180</v>
      </c>
      <c r="B212" s="216">
        <v>3.5</v>
      </c>
      <c r="C212" s="79">
        <f t="shared" si="3"/>
        <v>3.4</v>
      </c>
      <c r="D212" s="174">
        <v>0</v>
      </c>
      <c r="E212" s="179">
        <v>0</v>
      </c>
      <c r="F212" s="179">
        <v>0</v>
      </c>
      <c r="G212" s="180">
        <v>0</v>
      </c>
    </row>
    <row r="213" spans="1:7">
      <c r="A213" s="215" t="s">
        <v>181</v>
      </c>
      <c r="B213" s="216">
        <v>3.8</v>
      </c>
      <c r="C213" s="79">
        <f t="shared" si="3"/>
        <v>3.5</v>
      </c>
      <c r="D213" s="174">
        <v>0</v>
      </c>
      <c r="E213" s="179">
        <v>0</v>
      </c>
      <c r="F213" s="179">
        <v>0</v>
      </c>
      <c r="G213" s="180">
        <v>0</v>
      </c>
    </row>
    <row r="214" spans="1:7">
      <c r="A214" s="215" t="s">
        <v>182</v>
      </c>
      <c r="B214" s="216">
        <v>4</v>
      </c>
      <c r="C214" s="79">
        <f t="shared" si="3"/>
        <v>3.8</v>
      </c>
      <c r="D214" s="174">
        <v>0</v>
      </c>
      <c r="E214" s="179">
        <v>0</v>
      </c>
      <c r="F214" s="179">
        <v>0</v>
      </c>
      <c r="G214" s="180">
        <v>0.00155000000000001</v>
      </c>
    </row>
    <row r="215" spans="1:7">
      <c r="A215" s="215" t="s">
        <v>183</v>
      </c>
      <c r="B215" s="216">
        <v>4.1</v>
      </c>
      <c r="C215" s="79">
        <f t="shared" si="3"/>
        <v>4</v>
      </c>
      <c r="D215" s="174">
        <v>0</v>
      </c>
      <c r="E215" s="179">
        <v>0</v>
      </c>
      <c r="F215" s="179">
        <v>0</v>
      </c>
      <c r="G215" s="180">
        <v>0.00395121951219512</v>
      </c>
    </row>
    <row r="216" spans="1:7">
      <c r="A216" s="215" t="s">
        <v>184</v>
      </c>
      <c r="B216" s="216">
        <v>4.3</v>
      </c>
      <c r="C216" s="79">
        <f t="shared" si="3"/>
        <v>4.1</v>
      </c>
      <c r="D216" s="174">
        <v>0.0358139534883723</v>
      </c>
      <c r="E216" s="179"/>
      <c r="F216" s="179">
        <v>0.00358139534883723</v>
      </c>
      <c r="G216" s="180">
        <v>0.00841860465116279</v>
      </c>
    </row>
    <row r="217" spans="1:7">
      <c r="A217" s="215" t="s">
        <v>185</v>
      </c>
      <c r="B217" s="216">
        <v>4.4</v>
      </c>
      <c r="C217" s="79">
        <f t="shared" si="3"/>
        <v>4.3</v>
      </c>
      <c r="D217" s="174">
        <v>0.057727272727273</v>
      </c>
      <c r="E217" s="179"/>
      <c r="F217" s="179">
        <v>0.0057727272727273</v>
      </c>
      <c r="G217" s="180">
        <v>0.0105</v>
      </c>
    </row>
    <row r="218" spans="1:7">
      <c r="A218" s="215" t="s">
        <v>186</v>
      </c>
      <c r="B218" s="216">
        <v>4.5</v>
      </c>
      <c r="C218" s="79">
        <f t="shared" si="3"/>
        <v>4.4</v>
      </c>
      <c r="D218" s="174">
        <v>0.0786666666666669</v>
      </c>
      <c r="E218" s="179"/>
      <c r="F218" s="179">
        <v>0.00786666666666669</v>
      </c>
      <c r="G218" s="180">
        <v>0.0124888888888889</v>
      </c>
    </row>
    <row r="219" spans="1:7">
      <c r="A219" s="215" t="s">
        <v>187</v>
      </c>
      <c r="B219" s="216">
        <v>4.6</v>
      </c>
      <c r="C219" s="79">
        <f t="shared" si="3"/>
        <v>4.5</v>
      </c>
      <c r="D219" s="174">
        <v>0.0986956521739132</v>
      </c>
      <c r="E219" s="179">
        <v>0.00986956521739132</v>
      </c>
      <c r="F219" s="179">
        <v>0.00986956521739132</v>
      </c>
      <c r="G219" s="180">
        <v>0.0143913043478261</v>
      </c>
    </row>
    <row r="220" spans="1:7">
      <c r="A220" s="215" t="s">
        <v>188</v>
      </c>
      <c r="B220" s="216">
        <v>4.8</v>
      </c>
      <c r="C220" s="79">
        <f t="shared" si="3"/>
        <v>4.6</v>
      </c>
      <c r="D220" s="174">
        <v>0.13625</v>
      </c>
      <c r="E220" s="179">
        <v>0.013625</v>
      </c>
      <c r="F220" s="179">
        <v>0.013625</v>
      </c>
      <c r="G220" s="180">
        <v>0.0179583333333333</v>
      </c>
    </row>
    <row r="221" spans="1:7">
      <c r="A221" s="215" t="s">
        <v>189</v>
      </c>
      <c r="B221" s="216">
        <v>5</v>
      </c>
      <c r="C221" s="79">
        <f t="shared" si="3"/>
        <v>4.8</v>
      </c>
      <c r="D221" s="174">
        <v>0.1708</v>
      </c>
      <c r="E221" s="179">
        <v>0.01708</v>
      </c>
      <c r="F221" s="179">
        <v>0.01708</v>
      </c>
      <c r="G221" s="180">
        <v>0.02124</v>
      </c>
    </row>
    <row r="222" spans="1:7">
      <c r="A222" s="215" t="s">
        <v>190</v>
      </c>
      <c r="B222" s="216">
        <v>5.2</v>
      </c>
      <c r="C222" s="79">
        <f t="shared" si="3"/>
        <v>5</v>
      </c>
      <c r="D222" s="174">
        <v>0.202692307692308</v>
      </c>
      <c r="E222" s="179">
        <v>0.0202692307692308</v>
      </c>
      <c r="F222" s="179">
        <v>0.0202692307692308</v>
      </c>
      <c r="G222" s="180">
        <v>0.0242692307692308</v>
      </c>
    </row>
    <row r="223" spans="1:7">
      <c r="A223" s="215" t="s">
        <v>191</v>
      </c>
      <c r="B223" s="216">
        <v>5.4</v>
      </c>
      <c r="C223" s="79">
        <f t="shared" si="3"/>
        <v>5.2</v>
      </c>
      <c r="D223" s="174">
        <v>0.232222222222222</v>
      </c>
      <c r="E223" s="179">
        <v>0.0232222222222222</v>
      </c>
      <c r="F223" s="179">
        <v>0.0232222222222222</v>
      </c>
      <c r="G223" s="180">
        <v>0.0270740740740741</v>
      </c>
    </row>
    <row r="224" spans="1:7">
      <c r="A224" s="215" t="s">
        <v>192</v>
      </c>
      <c r="B224" s="216">
        <v>5.6</v>
      </c>
      <c r="C224" s="79">
        <f t="shared" si="3"/>
        <v>5.4</v>
      </c>
      <c r="D224" s="174">
        <v>0.259642857142857</v>
      </c>
      <c r="E224" s="179">
        <v>0.0259642857142857</v>
      </c>
      <c r="F224" s="179">
        <v>0.0259642857142857</v>
      </c>
      <c r="G224" s="180">
        <v>0.0296785714285714</v>
      </c>
    </row>
    <row r="225" spans="1:7">
      <c r="A225" s="215" t="s">
        <v>193</v>
      </c>
      <c r="B225" s="216">
        <v>5.7</v>
      </c>
      <c r="C225" s="79">
        <f t="shared" si="3"/>
        <v>5.6</v>
      </c>
      <c r="D225" s="174">
        <v>0.272631578947369</v>
      </c>
      <c r="E225" s="179">
        <v>0.0272631578947369</v>
      </c>
      <c r="F225" s="179">
        <v>0.0272631578947369</v>
      </c>
      <c r="G225" s="180">
        <v>0.0309122807017544</v>
      </c>
    </row>
    <row r="226" spans="1:7">
      <c r="A226" s="215" t="s">
        <v>194</v>
      </c>
      <c r="B226" s="216">
        <v>5.8</v>
      </c>
      <c r="C226" s="79">
        <f t="shared" si="3"/>
        <v>5.7</v>
      </c>
      <c r="D226" s="174">
        <v>0.285172413793104</v>
      </c>
      <c r="E226" s="179">
        <v>0.0285172413793104</v>
      </c>
      <c r="F226" s="179">
        <v>0.0285172413793104</v>
      </c>
      <c r="G226" s="180">
        <v>0.0321034482758621</v>
      </c>
    </row>
    <row r="227" spans="1:7">
      <c r="A227" s="215" t="s">
        <v>195</v>
      </c>
      <c r="B227" s="216">
        <v>6</v>
      </c>
      <c r="C227" s="79">
        <f t="shared" si="3"/>
        <v>5.8</v>
      </c>
      <c r="D227" s="174">
        <v>0.309</v>
      </c>
      <c r="E227" s="179">
        <v>0.0309</v>
      </c>
      <c r="F227" s="179">
        <v>0.0309</v>
      </c>
      <c r="G227" s="180">
        <v>0.0343666666666667</v>
      </c>
    </row>
    <row r="228" spans="1:7">
      <c r="A228" s="215" t="s">
        <v>196</v>
      </c>
      <c r="B228" s="216">
        <v>6.2</v>
      </c>
      <c r="C228" s="79">
        <f t="shared" si="3"/>
        <v>6</v>
      </c>
      <c r="D228" s="174">
        <v>0.331290322580645</v>
      </c>
      <c r="E228" s="179">
        <v>0.0331290322580645</v>
      </c>
      <c r="F228" s="179">
        <v>0.0331290322580645</v>
      </c>
      <c r="G228" s="180">
        <v>0.0364838709677419</v>
      </c>
    </row>
    <row r="229" spans="1:7">
      <c r="A229" s="215" t="s">
        <v>197</v>
      </c>
      <c r="B229" s="216">
        <v>6.4</v>
      </c>
      <c r="C229" s="79">
        <f t="shared" si="3"/>
        <v>6.2</v>
      </c>
      <c r="D229" s="174">
        <v>0.3521875</v>
      </c>
      <c r="E229" s="179">
        <v>0.03521875</v>
      </c>
      <c r="F229" s="179">
        <v>0.03521875</v>
      </c>
      <c r="G229" s="180">
        <v>0.03846875</v>
      </c>
    </row>
    <row r="230" spans="1:7">
      <c r="A230" s="215" t="s">
        <v>198</v>
      </c>
      <c r="B230" s="216">
        <v>6.6</v>
      </c>
      <c r="C230" s="79">
        <f t="shared" si="3"/>
        <v>6.4</v>
      </c>
      <c r="D230" s="174">
        <v>0.371818181818182</v>
      </c>
      <c r="E230" s="179">
        <v>0.0371818181818182</v>
      </c>
      <c r="F230" s="179">
        <v>0.0371818181818182</v>
      </c>
      <c r="G230" s="180">
        <v>0.042</v>
      </c>
    </row>
    <row r="231" spans="1:7">
      <c r="A231" s="215" t="s">
        <v>199</v>
      </c>
      <c r="B231" s="216">
        <v>6.7</v>
      </c>
      <c r="C231" s="79">
        <f t="shared" si="3"/>
        <v>6.6</v>
      </c>
      <c r="D231" s="174">
        <v>0.381194029850746</v>
      </c>
      <c r="E231" s="179">
        <v>0.0381194029850746</v>
      </c>
      <c r="F231" s="179">
        <v>0.0381194029850746</v>
      </c>
      <c r="G231" s="180">
        <v>0.0473432835820896</v>
      </c>
    </row>
    <row r="232" spans="1:7">
      <c r="A232" s="215" t="s">
        <v>200</v>
      </c>
      <c r="B232" s="216">
        <v>7</v>
      </c>
      <c r="C232" s="79">
        <f t="shared" si="3"/>
        <v>6.7</v>
      </c>
      <c r="D232" s="174">
        <v>0.407714285714286</v>
      </c>
      <c r="E232" s="179">
        <v>0.0446285714285715</v>
      </c>
      <c r="F232" s="179">
        <v>0.0446285714285715</v>
      </c>
      <c r="G232" s="180">
        <v>0.0624571428571429</v>
      </c>
    </row>
    <row r="233" spans="1:7">
      <c r="A233" s="215" t="s">
        <v>201</v>
      </c>
      <c r="B233" s="216">
        <v>7.2</v>
      </c>
      <c r="C233" s="79">
        <f t="shared" si="3"/>
        <v>7</v>
      </c>
      <c r="D233" s="174">
        <v>0.424166666666667</v>
      </c>
      <c r="E233" s="179">
        <v>0.0545000000000001</v>
      </c>
      <c r="F233" s="179">
        <v>0.0545000000000001</v>
      </c>
      <c r="G233" s="180">
        <v>0.0718333333333333</v>
      </c>
    </row>
    <row r="234" spans="1:7">
      <c r="A234" s="215" t="s">
        <v>202</v>
      </c>
      <c r="B234" s="216">
        <v>7.5</v>
      </c>
      <c r="C234" s="79">
        <f t="shared" si="3"/>
        <v>7.2</v>
      </c>
      <c r="D234" s="174">
        <v>0.4472</v>
      </c>
      <c r="E234" s="179">
        <v>0.0683200000000001</v>
      </c>
      <c r="F234" s="179">
        <v>0.0683200000000001</v>
      </c>
      <c r="G234" s="180">
        <v>0.08496</v>
      </c>
    </row>
    <row r="235" spans="1:7">
      <c r="A235" s="215" t="s">
        <v>203</v>
      </c>
      <c r="B235" s="216">
        <v>7.6</v>
      </c>
      <c r="C235" s="79">
        <f t="shared" si="3"/>
        <v>7.5</v>
      </c>
      <c r="D235" s="174">
        <v>0.454473684210526</v>
      </c>
      <c r="E235" s="179">
        <v>0.0726842105263158</v>
      </c>
      <c r="F235" s="179">
        <v>0.0726842105263158</v>
      </c>
      <c r="G235" s="180">
        <v>0.0891052631578947</v>
      </c>
    </row>
    <row r="236" spans="1:7">
      <c r="A236" s="215" t="s">
        <v>204</v>
      </c>
      <c r="B236" s="216">
        <v>7.8</v>
      </c>
      <c r="C236" s="79">
        <f t="shared" si="3"/>
        <v>7.6</v>
      </c>
      <c r="D236" s="174">
        <v>0.468461538461539</v>
      </c>
      <c r="E236" s="179">
        <v>0.0810769230769231</v>
      </c>
      <c r="F236" s="179">
        <v>0.0810769230769231</v>
      </c>
      <c r="G236" s="180">
        <v>0.0970769230769231</v>
      </c>
    </row>
    <row r="237" spans="1:7">
      <c r="A237" s="215" t="s">
        <v>205</v>
      </c>
      <c r="B237" s="216">
        <v>8.1</v>
      </c>
      <c r="C237" s="79">
        <f t="shared" si="3"/>
        <v>7.8</v>
      </c>
      <c r="D237" s="174">
        <v>0.488148148148148</v>
      </c>
      <c r="E237" s="179">
        <v>0.0928888888888889</v>
      </c>
      <c r="F237" s="179">
        <v>0.0928888888888889</v>
      </c>
      <c r="G237" s="180">
        <v>0.108296296296296</v>
      </c>
    </row>
    <row r="238" spans="1:7">
      <c r="A238" s="215" t="s">
        <v>206</v>
      </c>
      <c r="B238" s="216">
        <v>8.5</v>
      </c>
      <c r="C238" s="79">
        <f t="shared" si="3"/>
        <v>8.1</v>
      </c>
      <c r="D238" s="174">
        <v>0.512235294117647</v>
      </c>
      <c r="E238" s="179">
        <v>0.107341176470588</v>
      </c>
      <c r="F238" s="179">
        <v>0.107341176470588</v>
      </c>
      <c r="G238" s="180">
        <v>0.122023529411765</v>
      </c>
    </row>
    <row r="239" spans="1:7">
      <c r="A239" s="215" t="s">
        <v>207</v>
      </c>
      <c r="B239" s="216">
        <v>8.9</v>
      </c>
      <c r="C239" s="79">
        <f t="shared" si="3"/>
        <v>8.5</v>
      </c>
      <c r="D239" s="174">
        <v>0.534157303370787</v>
      </c>
      <c r="E239" s="179">
        <v>0.120494382022472</v>
      </c>
      <c r="F239" s="179">
        <v>0.120494382022472</v>
      </c>
      <c r="G239" s="180">
        <v>0.134516853932584</v>
      </c>
    </row>
    <row r="240" spans="1:7">
      <c r="A240" s="215" t="s">
        <v>208</v>
      </c>
      <c r="B240" s="216">
        <v>9.2</v>
      </c>
      <c r="C240" s="79">
        <f t="shared" si="3"/>
        <v>8.9</v>
      </c>
      <c r="D240" s="174">
        <v>0.549347826086957</v>
      </c>
      <c r="E240" s="179">
        <v>0.129608695652174</v>
      </c>
      <c r="F240" s="179">
        <v>0.129608695652174</v>
      </c>
      <c r="G240" s="180">
        <v>0.143173913043478</v>
      </c>
    </row>
    <row r="241" spans="1:7">
      <c r="A241" s="215" t="s">
        <v>209</v>
      </c>
      <c r="B241" s="216">
        <v>9.6</v>
      </c>
      <c r="C241" s="79">
        <f t="shared" si="3"/>
        <v>9.2</v>
      </c>
      <c r="D241" s="174">
        <v>0.568125</v>
      </c>
      <c r="E241" s="179">
        <v>0.140875</v>
      </c>
      <c r="F241" s="179">
        <v>0.140875</v>
      </c>
      <c r="G241" s="180">
        <v>0.153875</v>
      </c>
    </row>
    <row r="242" spans="1:7">
      <c r="A242" s="215" t="s">
        <v>210</v>
      </c>
      <c r="B242" s="216">
        <v>9.9</v>
      </c>
      <c r="C242" s="79">
        <f t="shared" si="3"/>
        <v>9.6</v>
      </c>
      <c r="D242" s="174">
        <v>0.581212121212121</v>
      </c>
      <c r="E242" s="179">
        <v>0.148727272727273</v>
      </c>
      <c r="F242" s="179">
        <v>0.148727272727273</v>
      </c>
      <c r="G242" s="180">
        <v>0.161333333333333</v>
      </c>
    </row>
    <row r="243" spans="1:7">
      <c r="A243" s="215" t="s">
        <v>211</v>
      </c>
      <c r="B243" s="216">
        <v>10.3</v>
      </c>
      <c r="C243" s="79">
        <f t="shared" si="3"/>
        <v>9.9</v>
      </c>
      <c r="D243" s="174">
        <v>0.59747572815534</v>
      </c>
      <c r="E243" s="179">
        <v>0.158485436893204</v>
      </c>
      <c r="F243" s="179">
        <v>0.158485436893204</v>
      </c>
      <c r="G243" s="180">
        <v>0.170601941747573</v>
      </c>
    </row>
    <row r="244" spans="1:7">
      <c r="A244" s="215" t="s">
        <v>212</v>
      </c>
      <c r="B244" s="216">
        <v>11</v>
      </c>
      <c r="C244" s="79">
        <f t="shared" si="3"/>
        <v>10.3</v>
      </c>
      <c r="D244" s="174">
        <v>0.623090909090909</v>
      </c>
      <c r="E244" s="179">
        <v>0.173854545454545</v>
      </c>
      <c r="F244" s="179">
        <v>0.173854545454545</v>
      </c>
      <c r="G244" s="180">
        <v>0.1852</v>
      </c>
    </row>
    <row r="245" spans="1:7">
      <c r="A245" s="215" t="s">
        <v>213</v>
      </c>
      <c r="B245" s="216">
        <v>11.6</v>
      </c>
      <c r="C245" s="79">
        <f t="shared" si="3"/>
        <v>11</v>
      </c>
      <c r="D245" s="174">
        <v>0.642586206896552</v>
      </c>
      <c r="E245" s="179">
        <v>0.185551724137931</v>
      </c>
      <c r="F245" s="179">
        <v>0.185551724137931</v>
      </c>
      <c r="G245" s="180">
        <v>0.196310344827586</v>
      </c>
    </row>
    <row r="246" spans="1:7">
      <c r="A246" s="215" t="s">
        <v>214</v>
      </c>
      <c r="B246" s="216">
        <v>12.5</v>
      </c>
      <c r="C246" s="79">
        <f t="shared" si="3"/>
        <v>11.6</v>
      </c>
      <c r="D246" s="174">
        <v>0.66832</v>
      </c>
      <c r="E246" s="179">
        <v>0.200992</v>
      </c>
      <c r="F246" s="179">
        <v>0.200992</v>
      </c>
      <c r="G246" s="180">
        <v>0.210976</v>
      </c>
    </row>
    <row r="247" spans="1:7">
      <c r="A247" s="215" t="s">
        <v>215</v>
      </c>
      <c r="B247" s="216">
        <v>13.2</v>
      </c>
      <c r="C247" s="79">
        <f t="shared" si="3"/>
        <v>12.5</v>
      </c>
      <c r="D247" s="174">
        <v>0.685909090909091</v>
      </c>
      <c r="E247" s="179">
        <v>0.211545454545455</v>
      </c>
      <c r="F247" s="179">
        <v>0.211545454545455</v>
      </c>
      <c r="G247" s="180">
        <v>0.221</v>
      </c>
    </row>
    <row r="248" spans="1:7">
      <c r="A248" s="215" t="s">
        <v>216</v>
      </c>
      <c r="B248" s="216">
        <v>14.7</v>
      </c>
      <c r="C248" s="79">
        <f t="shared" si="3"/>
        <v>13.2</v>
      </c>
      <c r="D248" s="174">
        <v>0.717959183673469</v>
      </c>
      <c r="E248" s="179">
        <v>0.230775510204082</v>
      </c>
      <c r="F248" s="179">
        <v>0.230775510204082</v>
      </c>
      <c r="G248" s="180">
        <v>0.239265306122449</v>
      </c>
    </row>
    <row r="249" spans="1:7">
      <c r="A249" s="215" t="s">
        <v>217</v>
      </c>
      <c r="B249" s="216">
        <v>15.9</v>
      </c>
      <c r="C249" s="79">
        <f t="shared" si="3"/>
        <v>14.7</v>
      </c>
      <c r="D249" s="174">
        <v>0.739245283018868</v>
      </c>
      <c r="E249" s="179">
        <v>0.243547169811321</v>
      </c>
      <c r="F249" s="179">
        <v>0.243547169811321</v>
      </c>
      <c r="G249" s="180">
        <v>0.251396226415094</v>
      </c>
    </row>
    <row r="250" spans="1:7">
      <c r="A250" s="215" t="s">
        <v>218</v>
      </c>
      <c r="B250" s="216">
        <v>17.8</v>
      </c>
      <c r="C250" s="79">
        <f t="shared" si="3"/>
        <v>15.9</v>
      </c>
      <c r="D250" s="174">
        <v>0.767078651685393</v>
      </c>
      <c r="E250" s="179">
        <v>0.260247191011236</v>
      </c>
      <c r="F250" s="179">
        <v>0.260247191011236</v>
      </c>
      <c r="G250" s="180">
        <v>0.267258426966292</v>
      </c>
    </row>
    <row r="251" spans="1:7">
      <c r="A251" s="215" t="s">
        <v>219</v>
      </c>
      <c r="B251" s="216">
        <v>24.3</v>
      </c>
      <c r="C251" s="79">
        <f t="shared" si="3"/>
        <v>17.8</v>
      </c>
      <c r="D251" s="174">
        <v>0.829382716049383</v>
      </c>
      <c r="E251" s="179">
        <v>0.29762962962963</v>
      </c>
      <c r="F251" s="179">
        <v>0.29762962962963</v>
      </c>
      <c r="G251" s="180">
        <v>0.302765432098765</v>
      </c>
    </row>
    <row r="252" spans="1:7">
      <c r="A252" s="215" t="s">
        <v>220</v>
      </c>
      <c r="B252" s="216">
        <v>30.3</v>
      </c>
      <c r="C252" s="79">
        <f t="shared" si="3"/>
        <v>24.3</v>
      </c>
      <c r="D252" s="174">
        <v>0.863168316831683</v>
      </c>
      <c r="E252" s="179">
        <v>0.31790099009901</v>
      </c>
      <c r="F252" s="179">
        <v>0.31790099009901</v>
      </c>
      <c r="G252" s="180">
        <v>0.322019801980198</v>
      </c>
    </row>
    <row r="253" spans="1:7">
      <c r="A253" s="215" t="s">
        <v>221</v>
      </c>
      <c r="B253" s="216">
        <v>65.5</v>
      </c>
      <c r="C253" s="79">
        <f t="shared" si="3"/>
        <v>30.3</v>
      </c>
      <c r="D253" s="174">
        <v>0.936702290076336</v>
      </c>
      <c r="E253" s="179">
        <v>0.362021374045802</v>
      </c>
      <c r="F253" s="179">
        <v>0.362021374045802</v>
      </c>
      <c r="G253" s="180">
        <v>0.363926717557252</v>
      </c>
    </row>
    <row r="254" ht="15.75" spans="1:7">
      <c r="A254" s="217" t="s">
        <v>221</v>
      </c>
      <c r="B254" s="239" t="s">
        <v>406</v>
      </c>
      <c r="C254" s="79">
        <f t="shared" si="3"/>
        <v>65.5</v>
      </c>
      <c r="D254" s="184"/>
      <c r="E254" s="184"/>
      <c r="F254" s="184"/>
      <c r="G254" s="185"/>
    </row>
    <row r="255" ht="15.75" spans="1:7">
      <c r="A255" s="186"/>
      <c r="B255" s="219">
        <v>5.4</v>
      </c>
      <c r="C255" s="78"/>
      <c r="D255" s="220"/>
      <c r="E255" s="221">
        <v>0.0812255328507157</v>
      </c>
      <c r="F255" s="221">
        <v>0.0812255328507157</v>
      </c>
      <c r="G255" s="222">
        <v>0.0878514062671472</v>
      </c>
    </row>
    <row r="256" ht="51" spans="1:7">
      <c r="A256" s="191" t="s">
        <v>233</v>
      </c>
      <c r="B256" s="223">
        <v>3.6</v>
      </c>
      <c r="C256" s="78"/>
      <c r="D256" s="193"/>
      <c r="E256" s="194">
        <v>6.91</v>
      </c>
      <c r="F256" s="195">
        <v>6.91</v>
      </c>
      <c r="G256" s="196">
        <v>6.56333333333333</v>
      </c>
    </row>
    <row r="257" ht="54" customHeight="1" spans="1:7">
      <c r="A257" s="197" t="s">
        <v>224</v>
      </c>
      <c r="B257" s="224">
        <v>9.2</v>
      </c>
      <c r="C257" s="78"/>
      <c r="D257" s="199"/>
      <c r="E257" s="200"/>
      <c r="F257" s="200"/>
      <c r="G257" s="201"/>
    </row>
    <row r="258" ht="77.25" customHeight="1" spans="1:7">
      <c r="A258" s="202" t="s">
        <v>225</v>
      </c>
      <c r="B258" s="225">
        <v>2.2</v>
      </c>
      <c r="C258" s="78"/>
      <c r="D258" s="184"/>
      <c r="E258" s="183">
        <v>4.146</v>
      </c>
      <c r="F258" s="183">
        <v>4.146</v>
      </c>
      <c r="G258" s="204">
        <v>3.938</v>
      </c>
    </row>
    <row r="259" ht="15.75"/>
    <row r="260" ht="51.75" spans="1:2">
      <c r="A260" s="205" t="s">
        <v>224</v>
      </c>
      <c r="B260" s="166">
        <f>B257</f>
        <v>9.2</v>
      </c>
    </row>
    <row r="261" spans="1:3">
      <c r="A261" s="542" t="s">
        <v>226</v>
      </c>
      <c r="B261" s="207">
        <f>AVERAGE(B209:B248)</f>
        <v>6.91</v>
      </c>
      <c r="C261" s="95"/>
    </row>
    <row r="262" spans="1:3">
      <c r="A262" s="543" t="s">
        <v>227</v>
      </c>
      <c r="B262" s="209">
        <f>AVERAGE(B214:B243)</f>
        <v>6.56333333333333</v>
      </c>
      <c r="C262" s="96"/>
    </row>
    <row r="263" ht="15.75" spans="1:3">
      <c r="A263" s="544" t="s">
        <v>228</v>
      </c>
      <c r="B263" s="211">
        <f>AVERAGE(B220:B238)</f>
        <v>6.47894736842105</v>
      </c>
      <c r="C263" s="96"/>
    </row>
    <row r="265" ht="15.75"/>
    <row r="266" customHeight="1" spans="1:7">
      <c r="A266" s="155" t="s">
        <v>165</v>
      </c>
      <c r="B266" s="156" t="s">
        <v>363</v>
      </c>
      <c r="C266" s="157"/>
      <c r="D266" s="158"/>
      <c r="E266" s="159" t="e">
        <f>(1-E321)^(1/3)-1</f>
        <v>#DIV/0!</v>
      </c>
      <c r="F266" s="160" t="e">
        <f>(1-F321)^(1/3)-1</f>
        <v>#DIV/0!</v>
      </c>
      <c r="G266" s="161"/>
    </row>
    <row r="267" ht="77.25" spans="1:7">
      <c r="A267" s="162"/>
      <c r="B267" s="130" t="s">
        <v>167</v>
      </c>
      <c r="C267" s="130"/>
      <c r="D267" s="130" t="s">
        <v>168</v>
      </c>
      <c r="E267" s="130" t="s">
        <v>169</v>
      </c>
      <c r="F267" s="130" t="s">
        <v>169</v>
      </c>
      <c r="G267" s="130"/>
    </row>
    <row r="268" ht="26.25" spans="1:7">
      <c r="A268" s="163"/>
      <c r="B268" s="164" t="s">
        <v>364</v>
      </c>
      <c r="D268" s="164" t="s">
        <v>171</v>
      </c>
      <c r="E268" s="538" t="s">
        <v>401</v>
      </c>
      <c r="F268" s="539" t="s">
        <v>402</v>
      </c>
      <c r="G268" s="166"/>
    </row>
    <row r="269" ht="15.75" spans="1:7">
      <c r="A269" s="167">
        <v>1</v>
      </c>
      <c r="B269" s="212">
        <v>2</v>
      </c>
      <c r="D269" s="131">
        <v>3</v>
      </c>
      <c r="E269" s="169">
        <v>4</v>
      </c>
      <c r="F269" s="131">
        <v>5</v>
      </c>
      <c r="G269" s="169"/>
    </row>
    <row r="270" spans="1:7">
      <c r="A270" s="545" t="s">
        <v>172</v>
      </c>
      <c r="B270" s="247"/>
      <c r="C270">
        <v>0</v>
      </c>
      <c r="D270" s="174">
        <f>IF(B270=0,0,IF(B270&lt;=E$324,0,B270-E$324)/B270)</f>
        <v>0</v>
      </c>
      <c r="E270" s="175"/>
      <c r="F270" s="175"/>
      <c r="G270" s="176"/>
    </row>
    <row r="271" spans="1:7">
      <c r="A271" s="546" t="s">
        <v>173</v>
      </c>
      <c r="B271" s="248"/>
      <c r="C271" s="79">
        <f>B270</f>
        <v>0</v>
      </c>
      <c r="D271" s="174">
        <f t="shared" ref="D271:D319" si="4">IF(B271=0,0,IF(B271&lt;=E$324,0,B271-E$324)/B271)</f>
        <v>0</v>
      </c>
      <c r="E271" s="179"/>
      <c r="F271" s="179"/>
      <c r="G271" s="180"/>
    </row>
    <row r="272" spans="1:7">
      <c r="A272" s="546" t="s">
        <v>174</v>
      </c>
      <c r="B272" s="248"/>
      <c r="C272" s="79">
        <f t="shared" ref="C272:C320" si="5">B271</f>
        <v>0</v>
      </c>
      <c r="D272" s="174">
        <f t="shared" si="4"/>
        <v>0</v>
      </c>
      <c r="E272" s="179"/>
      <c r="F272" s="179"/>
      <c r="G272" s="180"/>
    </row>
    <row r="273" spans="1:7">
      <c r="A273" s="546" t="s">
        <v>175</v>
      </c>
      <c r="B273" s="248"/>
      <c r="C273" s="79">
        <f t="shared" si="5"/>
        <v>0</v>
      </c>
      <c r="D273" s="174">
        <f t="shared" si="4"/>
        <v>0</v>
      </c>
      <c r="E273" s="179"/>
      <c r="F273" s="179"/>
      <c r="G273" s="180"/>
    </row>
    <row r="274" spans="1:7">
      <c r="A274" s="546" t="s">
        <v>176</v>
      </c>
      <c r="B274" s="248"/>
      <c r="C274" s="79">
        <f t="shared" si="5"/>
        <v>0</v>
      </c>
      <c r="D274" s="174">
        <f t="shared" si="4"/>
        <v>0</v>
      </c>
      <c r="E274" s="179"/>
      <c r="F274" s="179"/>
      <c r="G274" s="180"/>
    </row>
    <row r="275" spans="1:7">
      <c r="A275" s="546" t="s">
        <v>177</v>
      </c>
      <c r="B275" s="248"/>
      <c r="C275" s="79">
        <f t="shared" si="5"/>
        <v>0</v>
      </c>
      <c r="D275" s="174">
        <f t="shared" si="4"/>
        <v>0</v>
      </c>
      <c r="E275" s="179"/>
      <c r="F275" s="179"/>
      <c r="G275" s="180"/>
    </row>
    <row r="276" spans="1:7">
      <c r="A276" s="546" t="s">
        <v>178</v>
      </c>
      <c r="B276" s="248"/>
      <c r="C276" s="79">
        <f t="shared" si="5"/>
        <v>0</v>
      </c>
      <c r="D276" s="174">
        <f t="shared" si="4"/>
        <v>0</v>
      </c>
      <c r="E276" s="179"/>
      <c r="F276" s="179"/>
      <c r="G276" s="180"/>
    </row>
    <row r="277" spans="1:7">
      <c r="A277" s="215" t="s">
        <v>179</v>
      </c>
      <c r="B277" s="248"/>
      <c r="C277" s="79">
        <f t="shared" si="5"/>
        <v>0</v>
      </c>
      <c r="D277" s="174">
        <f t="shared" si="4"/>
        <v>0</v>
      </c>
      <c r="E277" s="179"/>
      <c r="F277" s="179"/>
      <c r="G277" s="180"/>
    </row>
    <row r="278" spans="1:7">
      <c r="A278" s="215" t="s">
        <v>180</v>
      </c>
      <c r="B278" s="248"/>
      <c r="C278" s="79">
        <f t="shared" si="5"/>
        <v>0</v>
      </c>
      <c r="D278" s="174">
        <f t="shared" si="4"/>
        <v>0</v>
      </c>
      <c r="E278" s="179"/>
      <c r="F278" s="179"/>
      <c r="G278" s="180"/>
    </row>
    <row r="279" spans="1:7">
      <c r="A279" s="215" t="s">
        <v>181</v>
      </c>
      <c r="B279" s="248"/>
      <c r="C279" s="79">
        <f t="shared" si="5"/>
        <v>0</v>
      </c>
      <c r="D279" s="174">
        <f t="shared" si="4"/>
        <v>0</v>
      </c>
      <c r="E279" s="179"/>
      <c r="F279" s="179"/>
      <c r="G279" s="180"/>
    </row>
    <row r="280" spans="1:7">
      <c r="A280" s="215" t="s">
        <v>182</v>
      </c>
      <c r="B280" s="248"/>
      <c r="C280" s="79">
        <f t="shared" si="5"/>
        <v>0</v>
      </c>
      <c r="D280" s="174">
        <f t="shared" si="4"/>
        <v>0</v>
      </c>
      <c r="E280" s="179"/>
      <c r="F280" s="179"/>
      <c r="G280" s="180"/>
    </row>
    <row r="281" spans="1:7">
      <c r="A281" s="215" t="s">
        <v>183</v>
      </c>
      <c r="B281" s="248"/>
      <c r="C281" s="79">
        <f t="shared" si="5"/>
        <v>0</v>
      </c>
      <c r="D281" s="174">
        <f t="shared" si="4"/>
        <v>0</v>
      </c>
      <c r="E281" s="179"/>
      <c r="F281" s="179"/>
      <c r="G281" s="180"/>
    </row>
    <row r="282" spans="1:7">
      <c r="A282" s="215" t="s">
        <v>184</v>
      </c>
      <c r="B282" s="248"/>
      <c r="C282" s="79">
        <f t="shared" si="5"/>
        <v>0</v>
      </c>
      <c r="D282" s="174">
        <f t="shared" si="4"/>
        <v>0</v>
      </c>
      <c r="E282" s="179"/>
      <c r="F282" s="179"/>
      <c r="G282" s="180"/>
    </row>
    <row r="283" spans="1:7">
      <c r="A283" s="215" t="s">
        <v>185</v>
      </c>
      <c r="B283" s="248"/>
      <c r="C283" s="79">
        <f t="shared" si="5"/>
        <v>0</v>
      </c>
      <c r="D283" s="174">
        <f t="shared" si="4"/>
        <v>0</v>
      </c>
      <c r="E283" s="179"/>
      <c r="F283" s="179"/>
      <c r="G283" s="180"/>
    </row>
    <row r="284" spans="1:7">
      <c r="A284" s="215" t="s">
        <v>186</v>
      </c>
      <c r="B284" s="248"/>
      <c r="C284" s="79">
        <f t="shared" si="5"/>
        <v>0</v>
      </c>
      <c r="D284" s="174">
        <f t="shared" si="4"/>
        <v>0</v>
      </c>
      <c r="E284" s="179"/>
      <c r="F284" s="179"/>
      <c r="G284" s="180"/>
    </row>
    <row r="285" spans="1:7">
      <c r="A285" s="215" t="s">
        <v>187</v>
      </c>
      <c r="B285" s="248"/>
      <c r="C285" s="79">
        <f t="shared" si="5"/>
        <v>0</v>
      </c>
      <c r="D285" s="174">
        <f t="shared" si="4"/>
        <v>0</v>
      </c>
      <c r="E285" s="179"/>
      <c r="F285" s="179"/>
      <c r="G285" s="180"/>
    </row>
    <row r="286" spans="1:7">
      <c r="A286" s="215" t="s">
        <v>188</v>
      </c>
      <c r="B286" s="248"/>
      <c r="C286" s="79">
        <f t="shared" si="5"/>
        <v>0</v>
      </c>
      <c r="D286" s="174">
        <f t="shared" si="4"/>
        <v>0</v>
      </c>
      <c r="E286" s="179"/>
      <c r="F286" s="179"/>
      <c r="G286" s="180"/>
    </row>
    <row r="287" spans="1:7">
      <c r="A287" s="215" t="s">
        <v>189</v>
      </c>
      <c r="B287" s="248"/>
      <c r="C287" s="79">
        <f t="shared" si="5"/>
        <v>0</v>
      </c>
      <c r="D287" s="174">
        <f t="shared" si="4"/>
        <v>0</v>
      </c>
      <c r="E287" s="179"/>
      <c r="F287" s="179"/>
      <c r="G287" s="180"/>
    </row>
    <row r="288" spans="1:7">
      <c r="A288" s="215" t="s">
        <v>190</v>
      </c>
      <c r="B288" s="248"/>
      <c r="C288" s="79">
        <f t="shared" si="5"/>
        <v>0</v>
      </c>
      <c r="D288" s="174">
        <f t="shared" si="4"/>
        <v>0</v>
      </c>
      <c r="E288" s="179"/>
      <c r="F288" s="179"/>
      <c r="G288" s="180"/>
    </row>
    <row r="289" spans="1:7">
      <c r="A289" s="215" t="s">
        <v>191</v>
      </c>
      <c r="B289" s="248"/>
      <c r="C289" s="79">
        <f t="shared" si="5"/>
        <v>0</v>
      </c>
      <c r="D289" s="174">
        <f t="shared" si="4"/>
        <v>0</v>
      </c>
      <c r="E289" s="179"/>
      <c r="F289" s="179"/>
      <c r="G289" s="180"/>
    </row>
    <row r="290" spans="1:7">
      <c r="A290" s="215" t="s">
        <v>192</v>
      </c>
      <c r="B290" s="248"/>
      <c r="C290" s="79">
        <f t="shared" si="5"/>
        <v>0</v>
      </c>
      <c r="D290" s="174">
        <f t="shared" si="4"/>
        <v>0</v>
      </c>
      <c r="E290" s="179"/>
      <c r="F290" s="179"/>
      <c r="G290" s="180"/>
    </row>
    <row r="291" spans="1:7">
      <c r="A291" s="215" t="s">
        <v>193</v>
      </c>
      <c r="B291" s="248"/>
      <c r="C291" s="79">
        <f t="shared" si="5"/>
        <v>0</v>
      </c>
      <c r="D291" s="174">
        <f t="shared" si="4"/>
        <v>0</v>
      </c>
      <c r="E291" s="179"/>
      <c r="F291" s="179"/>
      <c r="G291" s="180"/>
    </row>
    <row r="292" spans="1:7">
      <c r="A292" s="215" t="s">
        <v>194</v>
      </c>
      <c r="B292" s="248"/>
      <c r="C292" s="79">
        <f t="shared" si="5"/>
        <v>0</v>
      </c>
      <c r="D292" s="174">
        <f t="shared" si="4"/>
        <v>0</v>
      </c>
      <c r="E292" s="179"/>
      <c r="F292" s="179"/>
      <c r="G292" s="180"/>
    </row>
    <row r="293" spans="1:7">
      <c r="A293" s="215" t="s">
        <v>195</v>
      </c>
      <c r="B293" s="248"/>
      <c r="C293" s="79">
        <f t="shared" si="5"/>
        <v>0</v>
      </c>
      <c r="D293" s="174">
        <f t="shared" si="4"/>
        <v>0</v>
      </c>
      <c r="E293" s="179"/>
      <c r="F293" s="179"/>
      <c r="G293" s="180"/>
    </row>
    <row r="294" spans="1:7">
      <c r="A294" s="215" t="s">
        <v>196</v>
      </c>
      <c r="B294" s="248"/>
      <c r="C294" s="79">
        <f t="shared" si="5"/>
        <v>0</v>
      </c>
      <c r="D294" s="174">
        <f t="shared" si="4"/>
        <v>0</v>
      </c>
      <c r="E294" s="179"/>
      <c r="F294" s="179"/>
      <c r="G294" s="180"/>
    </row>
    <row r="295" spans="1:7">
      <c r="A295" s="215" t="s">
        <v>197</v>
      </c>
      <c r="B295" s="248"/>
      <c r="C295" s="79">
        <f t="shared" si="5"/>
        <v>0</v>
      </c>
      <c r="D295" s="174">
        <f t="shared" si="4"/>
        <v>0</v>
      </c>
      <c r="E295" s="179"/>
      <c r="F295" s="179"/>
      <c r="G295" s="180"/>
    </row>
    <row r="296" spans="1:7">
      <c r="A296" s="215" t="s">
        <v>198</v>
      </c>
      <c r="B296" s="248"/>
      <c r="C296" s="79">
        <f t="shared" si="5"/>
        <v>0</v>
      </c>
      <c r="D296" s="174">
        <f t="shared" si="4"/>
        <v>0</v>
      </c>
      <c r="E296" s="179"/>
      <c r="F296" s="179"/>
      <c r="G296" s="180"/>
    </row>
    <row r="297" spans="1:7">
      <c r="A297" s="215" t="s">
        <v>199</v>
      </c>
      <c r="B297" s="248"/>
      <c r="C297" s="79">
        <f t="shared" si="5"/>
        <v>0</v>
      </c>
      <c r="D297" s="174">
        <f t="shared" si="4"/>
        <v>0</v>
      </c>
      <c r="E297" s="179"/>
      <c r="F297" s="179"/>
      <c r="G297" s="180"/>
    </row>
    <row r="298" spans="1:7">
      <c r="A298" s="215" t="s">
        <v>200</v>
      </c>
      <c r="B298" s="248"/>
      <c r="C298" s="79">
        <f t="shared" si="5"/>
        <v>0</v>
      </c>
      <c r="D298" s="174">
        <f t="shared" si="4"/>
        <v>0</v>
      </c>
      <c r="E298" s="179"/>
      <c r="F298" s="179"/>
      <c r="G298" s="180"/>
    </row>
    <row r="299" spans="1:7">
      <c r="A299" s="215" t="s">
        <v>201</v>
      </c>
      <c r="B299" s="248"/>
      <c r="C299" s="79">
        <f t="shared" si="5"/>
        <v>0</v>
      </c>
      <c r="D299" s="174">
        <f t="shared" si="4"/>
        <v>0</v>
      </c>
      <c r="E299" s="179"/>
      <c r="F299" s="179"/>
      <c r="G299" s="180"/>
    </row>
    <row r="300" spans="1:7">
      <c r="A300" s="215" t="s">
        <v>202</v>
      </c>
      <c r="B300" s="248"/>
      <c r="C300" s="79">
        <f t="shared" si="5"/>
        <v>0</v>
      </c>
      <c r="D300" s="174">
        <f t="shared" si="4"/>
        <v>0</v>
      </c>
      <c r="E300" s="179"/>
      <c r="F300" s="179"/>
      <c r="G300" s="180"/>
    </row>
    <row r="301" spans="1:7">
      <c r="A301" s="215" t="s">
        <v>203</v>
      </c>
      <c r="B301" s="248"/>
      <c r="C301" s="79">
        <f t="shared" si="5"/>
        <v>0</v>
      </c>
      <c r="D301" s="174">
        <f t="shared" si="4"/>
        <v>0</v>
      </c>
      <c r="E301" s="179"/>
      <c r="F301" s="179"/>
      <c r="G301" s="180"/>
    </row>
    <row r="302" spans="1:7">
      <c r="A302" s="215" t="s">
        <v>204</v>
      </c>
      <c r="B302" s="248"/>
      <c r="C302" s="79">
        <f t="shared" si="5"/>
        <v>0</v>
      </c>
      <c r="D302" s="174">
        <f t="shared" si="4"/>
        <v>0</v>
      </c>
      <c r="E302" s="179"/>
      <c r="F302" s="179"/>
      <c r="G302" s="180"/>
    </row>
    <row r="303" spans="1:7">
      <c r="A303" s="215" t="s">
        <v>205</v>
      </c>
      <c r="B303" s="248"/>
      <c r="C303" s="79">
        <f t="shared" si="5"/>
        <v>0</v>
      </c>
      <c r="D303" s="174">
        <f t="shared" si="4"/>
        <v>0</v>
      </c>
      <c r="E303" s="179"/>
      <c r="F303" s="179"/>
      <c r="G303" s="180"/>
    </row>
    <row r="304" spans="1:7">
      <c r="A304" s="215" t="s">
        <v>206</v>
      </c>
      <c r="B304" s="248"/>
      <c r="C304" s="79">
        <f t="shared" si="5"/>
        <v>0</v>
      </c>
      <c r="D304" s="174">
        <f t="shared" si="4"/>
        <v>0</v>
      </c>
      <c r="E304" s="179"/>
      <c r="F304" s="179"/>
      <c r="G304" s="180"/>
    </row>
    <row r="305" spans="1:7">
      <c r="A305" s="215" t="s">
        <v>207</v>
      </c>
      <c r="B305" s="248"/>
      <c r="C305" s="79">
        <f t="shared" si="5"/>
        <v>0</v>
      </c>
      <c r="D305" s="174">
        <f t="shared" si="4"/>
        <v>0</v>
      </c>
      <c r="E305" s="179"/>
      <c r="F305" s="179"/>
      <c r="G305" s="180"/>
    </row>
    <row r="306" spans="1:7">
      <c r="A306" s="215" t="s">
        <v>208</v>
      </c>
      <c r="B306" s="248"/>
      <c r="C306" s="79">
        <f t="shared" si="5"/>
        <v>0</v>
      </c>
      <c r="D306" s="174">
        <f t="shared" si="4"/>
        <v>0</v>
      </c>
      <c r="E306" s="179"/>
      <c r="F306" s="179"/>
      <c r="G306" s="180"/>
    </row>
    <row r="307" spans="1:7">
      <c r="A307" s="215" t="s">
        <v>209</v>
      </c>
      <c r="B307" s="248"/>
      <c r="C307" s="79">
        <f t="shared" si="5"/>
        <v>0</v>
      </c>
      <c r="D307" s="174">
        <f t="shared" si="4"/>
        <v>0</v>
      </c>
      <c r="E307" s="179"/>
      <c r="F307" s="179"/>
      <c r="G307" s="180"/>
    </row>
    <row r="308" spans="1:7">
      <c r="A308" s="215" t="s">
        <v>210</v>
      </c>
      <c r="B308" s="248"/>
      <c r="C308" s="79">
        <f t="shared" si="5"/>
        <v>0</v>
      </c>
      <c r="D308" s="174">
        <f t="shared" si="4"/>
        <v>0</v>
      </c>
      <c r="E308" s="179"/>
      <c r="F308" s="179"/>
      <c r="G308" s="180"/>
    </row>
    <row r="309" spans="1:7">
      <c r="A309" s="215" t="s">
        <v>211</v>
      </c>
      <c r="B309" s="248"/>
      <c r="C309" s="79">
        <f t="shared" si="5"/>
        <v>0</v>
      </c>
      <c r="D309" s="174">
        <f t="shared" si="4"/>
        <v>0</v>
      </c>
      <c r="E309" s="179"/>
      <c r="F309" s="179"/>
      <c r="G309" s="180"/>
    </row>
    <row r="310" spans="1:7">
      <c r="A310" s="215" t="s">
        <v>212</v>
      </c>
      <c r="B310" s="248"/>
      <c r="C310" s="79">
        <f t="shared" si="5"/>
        <v>0</v>
      </c>
      <c r="D310" s="174">
        <f t="shared" si="4"/>
        <v>0</v>
      </c>
      <c r="E310" s="179"/>
      <c r="F310" s="179"/>
      <c r="G310" s="180"/>
    </row>
    <row r="311" spans="1:7">
      <c r="A311" s="215" t="s">
        <v>213</v>
      </c>
      <c r="B311" s="248"/>
      <c r="C311" s="79">
        <f t="shared" si="5"/>
        <v>0</v>
      </c>
      <c r="D311" s="174">
        <f t="shared" si="4"/>
        <v>0</v>
      </c>
      <c r="E311" s="179"/>
      <c r="F311" s="179"/>
      <c r="G311" s="180"/>
    </row>
    <row r="312" spans="1:7">
      <c r="A312" s="215" t="s">
        <v>214</v>
      </c>
      <c r="B312" s="248"/>
      <c r="C312" s="79">
        <f t="shared" si="5"/>
        <v>0</v>
      </c>
      <c r="D312" s="174">
        <f t="shared" si="4"/>
        <v>0</v>
      </c>
      <c r="E312" s="179"/>
      <c r="F312" s="179"/>
      <c r="G312" s="180"/>
    </row>
    <row r="313" spans="1:7">
      <c r="A313" s="215" t="s">
        <v>215</v>
      </c>
      <c r="B313" s="248"/>
      <c r="C313" s="79">
        <f t="shared" si="5"/>
        <v>0</v>
      </c>
      <c r="D313" s="174">
        <f t="shared" si="4"/>
        <v>0</v>
      </c>
      <c r="E313" s="179"/>
      <c r="F313" s="179"/>
      <c r="G313" s="180"/>
    </row>
    <row r="314" spans="1:7">
      <c r="A314" s="215" t="s">
        <v>216</v>
      </c>
      <c r="B314" s="248"/>
      <c r="C314" s="79">
        <f t="shared" si="5"/>
        <v>0</v>
      </c>
      <c r="D314" s="174">
        <f t="shared" si="4"/>
        <v>0</v>
      </c>
      <c r="E314" s="179"/>
      <c r="F314" s="179"/>
      <c r="G314" s="180"/>
    </row>
    <row r="315" spans="1:7">
      <c r="A315" s="215" t="s">
        <v>217</v>
      </c>
      <c r="B315" s="248"/>
      <c r="C315" s="79">
        <f t="shared" si="5"/>
        <v>0</v>
      </c>
      <c r="D315" s="174">
        <f t="shared" si="4"/>
        <v>0</v>
      </c>
      <c r="E315" s="179"/>
      <c r="F315" s="179"/>
      <c r="G315" s="180"/>
    </row>
    <row r="316" spans="1:7">
      <c r="A316" s="215" t="s">
        <v>218</v>
      </c>
      <c r="B316" s="248"/>
      <c r="C316" s="79">
        <f t="shared" si="5"/>
        <v>0</v>
      </c>
      <c r="D316" s="174">
        <f t="shared" si="4"/>
        <v>0</v>
      </c>
      <c r="E316" s="179"/>
      <c r="F316" s="179"/>
      <c r="G316" s="180"/>
    </row>
    <row r="317" spans="1:7">
      <c r="A317" s="215" t="s">
        <v>219</v>
      </c>
      <c r="B317" s="248"/>
      <c r="C317" s="79">
        <f t="shared" si="5"/>
        <v>0</v>
      </c>
      <c r="D317" s="174">
        <f t="shared" si="4"/>
        <v>0</v>
      </c>
      <c r="E317" s="179"/>
      <c r="F317" s="179"/>
      <c r="G317" s="180"/>
    </row>
    <row r="318" spans="1:7">
      <c r="A318" s="215" t="s">
        <v>220</v>
      </c>
      <c r="B318" s="248"/>
      <c r="C318" s="79">
        <f t="shared" si="5"/>
        <v>0</v>
      </c>
      <c r="D318" s="174">
        <f t="shared" si="4"/>
        <v>0</v>
      </c>
      <c r="E318" s="179"/>
      <c r="F318" s="179"/>
      <c r="G318" s="180"/>
    </row>
    <row r="319" spans="1:7">
      <c r="A319" s="215" t="s">
        <v>221</v>
      </c>
      <c r="B319" s="248"/>
      <c r="C319" s="79">
        <f t="shared" si="5"/>
        <v>0</v>
      </c>
      <c r="D319" s="174">
        <f t="shared" si="4"/>
        <v>0</v>
      </c>
      <c r="E319" s="179"/>
      <c r="F319" s="179"/>
      <c r="G319" s="180"/>
    </row>
    <row r="320" ht="15.75" spans="1:7">
      <c r="A320" s="217" t="s">
        <v>221</v>
      </c>
      <c r="B320" s="218"/>
      <c r="C320" s="79">
        <f t="shared" si="5"/>
        <v>0</v>
      </c>
      <c r="D320" s="184"/>
      <c r="E320" s="184">
        <f>IF(B320&lt;=E$60,0.1*MAX(0,(B320-E$60)),MAX(0,(B320-E$60))*0.1+0.5*(MAX(0,B320-E$58)))</f>
        <v>0</v>
      </c>
      <c r="F320" s="184"/>
      <c r="G320" s="185"/>
    </row>
    <row r="321" ht="15.75" spans="1:7">
      <c r="A321" s="186"/>
      <c r="B321" s="219">
        <v>36.8</v>
      </c>
      <c r="D321" s="220"/>
      <c r="E321" s="221" t="e">
        <f>AVERAGE(E270:E319)</f>
        <v>#DIV/0!</v>
      </c>
      <c r="F321" s="221" t="e">
        <f>AVERAGE(F270:F319)</f>
        <v>#DIV/0!</v>
      </c>
      <c r="G321" s="222"/>
    </row>
    <row r="322" ht="51" spans="1:7">
      <c r="A322" s="191" t="s">
        <v>233</v>
      </c>
      <c r="B322" s="192">
        <v>22.1</v>
      </c>
      <c r="D322" s="193"/>
      <c r="E322" s="194">
        <f>B322</f>
        <v>22.1</v>
      </c>
      <c r="F322" s="195" t="e">
        <f>B327</f>
        <v>#DIV/0!</v>
      </c>
      <c r="G322" s="196"/>
    </row>
    <row r="323" ht="53.25" customHeight="1" spans="1:7">
      <c r="A323" s="197" t="s">
        <v>224</v>
      </c>
      <c r="B323" s="198">
        <v>59.2</v>
      </c>
      <c r="D323" s="199"/>
      <c r="E323" s="200"/>
      <c r="F323" s="200"/>
      <c r="G323" s="201"/>
    </row>
    <row r="324" ht="78" customHeight="1" spans="1:7">
      <c r="A324" s="202" t="s">
        <v>225</v>
      </c>
      <c r="B324" s="203">
        <v>12</v>
      </c>
      <c r="D324" s="184"/>
      <c r="E324" s="183">
        <f>0.6*E322</f>
        <v>13.26</v>
      </c>
      <c r="F324" s="183" t="e">
        <f>0.6*F322</f>
        <v>#DIV/0!</v>
      </c>
      <c r="G324" s="204"/>
    </row>
    <row r="325" ht="15.75"/>
    <row r="326" ht="51.75" spans="1:2">
      <c r="A326" s="205" t="s">
        <v>224</v>
      </c>
      <c r="B326" s="166">
        <f>B323</f>
        <v>59.2</v>
      </c>
    </row>
    <row r="327" spans="1:2">
      <c r="A327" s="542" t="s">
        <v>226</v>
      </c>
      <c r="B327" s="249" t="e">
        <f>AVERAGE(B275:B314)</f>
        <v>#DIV/0!</v>
      </c>
    </row>
    <row r="328" spans="1:2">
      <c r="A328" s="543" t="s">
        <v>227</v>
      </c>
      <c r="B328" s="250" t="e">
        <f>AVERAGE(B280:B309)</f>
        <v>#DIV/0!</v>
      </c>
    </row>
    <row r="329" ht="15.75" spans="1:2">
      <c r="A329" s="544" t="s">
        <v>228</v>
      </c>
      <c r="B329" s="251" t="e">
        <f>AVERAGE(B286:B304)</f>
        <v>#DIV/0!</v>
      </c>
    </row>
    <row r="330" ht="15.75"/>
    <row r="331" customHeight="1" spans="1:7">
      <c r="A331" s="155" t="s">
        <v>165</v>
      </c>
      <c r="B331" s="156" t="s">
        <v>37</v>
      </c>
      <c r="C331" s="157"/>
      <c r="D331" s="158"/>
      <c r="E331" s="159" t="e">
        <f>(1-E386)^(1/3)-1</f>
        <v>#DIV/0!</v>
      </c>
      <c r="F331" s="160" t="e">
        <f>(1-F386)^(1/3)-1</f>
        <v>#DIV/0!</v>
      </c>
      <c r="G331" s="161"/>
    </row>
    <row r="332" ht="77.25" spans="1:7">
      <c r="A332" s="162"/>
      <c r="B332" s="130" t="s">
        <v>167</v>
      </c>
      <c r="D332" s="130" t="s">
        <v>168</v>
      </c>
      <c r="E332" s="130" t="s">
        <v>169</v>
      </c>
      <c r="F332" s="130" t="s">
        <v>169</v>
      </c>
      <c r="G332" s="130"/>
    </row>
    <row r="333" ht="26.25" spans="1:7">
      <c r="A333" s="163"/>
      <c r="B333" s="164" t="s">
        <v>407</v>
      </c>
      <c r="D333" s="164" t="s">
        <v>171</v>
      </c>
      <c r="E333" s="538" t="s">
        <v>401</v>
      </c>
      <c r="F333" s="539" t="s">
        <v>402</v>
      </c>
      <c r="G333" s="166"/>
    </row>
    <row r="334" ht="15.75" spans="1:7">
      <c r="A334" s="167">
        <v>1</v>
      </c>
      <c r="B334" s="212">
        <v>2</v>
      </c>
      <c r="D334" s="131">
        <v>3</v>
      </c>
      <c r="E334" s="169">
        <v>4</v>
      </c>
      <c r="F334" s="131">
        <v>5</v>
      </c>
      <c r="G334" s="169"/>
    </row>
    <row r="335" spans="1:7">
      <c r="A335" s="545" t="s">
        <v>172</v>
      </c>
      <c r="B335" s="247"/>
      <c r="D335" s="174">
        <f>IF(B335=0,0,IF(B335&lt;=E$389,0,B335-E$389)/B335)</f>
        <v>0</v>
      </c>
      <c r="E335" s="175"/>
      <c r="F335" s="175"/>
      <c r="G335" s="176"/>
    </row>
    <row r="336" ht="15.75" spans="1:7">
      <c r="A336" s="546" t="s">
        <v>173</v>
      </c>
      <c r="B336" s="248"/>
      <c r="C336" s="131"/>
      <c r="D336" s="174">
        <f t="shared" ref="D336:D384" si="6">IF(B336=0,0,IF(B336&lt;=E$389,0,B336-E$389)/B336)</f>
        <v>0</v>
      </c>
      <c r="E336" s="179"/>
      <c r="F336" s="179"/>
      <c r="G336" s="180"/>
    </row>
    <row r="337" spans="1:7">
      <c r="A337" s="546" t="s">
        <v>174</v>
      </c>
      <c r="B337" s="248"/>
      <c r="C337">
        <v>0</v>
      </c>
      <c r="D337" s="174">
        <f t="shared" si="6"/>
        <v>0</v>
      </c>
      <c r="E337" s="179"/>
      <c r="F337" s="179"/>
      <c r="G337" s="180"/>
    </row>
    <row r="338" spans="1:7">
      <c r="A338" s="546" t="s">
        <v>175</v>
      </c>
      <c r="B338" s="248"/>
      <c r="C338" s="79">
        <f>B337</f>
        <v>0</v>
      </c>
      <c r="D338" s="174">
        <f t="shared" si="6"/>
        <v>0</v>
      </c>
      <c r="E338" s="179"/>
      <c r="F338" s="179"/>
      <c r="G338" s="180"/>
    </row>
    <row r="339" spans="1:7">
      <c r="A339" s="546" t="s">
        <v>176</v>
      </c>
      <c r="B339" s="248"/>
      <c r="C339" s="79">
        <f t="shared" ref="C339:C387" si="7">B338</f>
        <v>0</v>
      </c>
      <c r="D339" s="174">
        <f t="shared" si="6"/>
        <v>0</v>
      </c>
      <c r="E339" s="179"/>
      <c r="F339" s="179"/>
      <c r="G339" s="180"/>
    </row>
    <row r="340" spans="1:7">
      <c r="A340" s="546" t="s">
        <v>177</v>
      </c>
      <c r="B340" s="248"/>
      <c r="C340" s="79">
        <f t="shared" si="7"/>
        <v>0</v>
      </c>
      <c r="D340" s="174">
        <f t="shared" si="6"/>
        <v>0</v>
      </c>
      <c r="E340" s="179"/>
      <c r="F340" s="179"/>
      <c r="G340" s="180"/>
    </row>
    <row r="341" spans="1:7">
      <c r="A341" s="546" t="s">
        <v>178</v>
      </c>
      <c r="B341" s="248"/>
      <c r="C341" s="79">
        <f t="shared" si="7"/>
        <v>0</v>
      </c>
      <c r="D341" s="174">
        <f t="shared" si="6"/>
        <v>0</v>
      </c>
      <c r="E341" s="179"/>
      <c r="F341" s="179"/>
      <c r="G341" s="180"/>
    </row>
    <row r="342" spans="1:7">
      <c r="A342" s="215" t="s">
        <v>179</v>
      </c>
      <c r="B342" s="248"/>
      <c r="C342" s="79">
        <f t="shared" si="7"/>
        <v>0</v>
      </c>
      <c r="D342" s="174">
        <f t="shared" si="6"/>
        <v>0</v>
      </c>
      <c r="E342" s="179"/>
      <c r="F342" s="179"/>
      <c r="G342" s="180"/>
    </row>
    <row r="343" spans="1:7">
      <c r="A343" s="215" t="s">
        <v>180</v>
      </c>
      <c r="B343" s="248"/>
      <c r="C343" s="79">
        <f t="shared" si="7"/>
        <v>0</v>
      </c>
      <c r="D343" s="174">
        <f t="shared" si="6"/>
        <v>0</v>
      </c>
      <c r="E343" s="179"/>
      <c r="F343" s="179"/>
      <c r="G343" s="180"/>
    </row>
    <row r="344" spans="1:7">
      <c r="A344" s="215" t="s">
        <v>181</v>
      </c>
      <c r="B344" s="248"/>
      <c r="C344" s="79">
        <f t="shared" si="7"/>
        <v>0</v>
      </c>
      <c r="D344" s="174">
        <f t="shared" si="6"/>
        <v>0</v>
      </c>
      <c r="E344" s="179"/>
      <c r="F344" s="179"/>
      <c r="G344" s="180"/>
    </row>
    <row r="345" spans="1:7">
      <c r="A345" s="215" t="s">
        <v>182</v>
      </c>
      <c r="B345" s="248"/>
      <c r="C345" s="79">
        <f t="shared" si="7"/>
        <v>0</v>
      </c>
      <c r="D345" s="174">
        <f t="shared" si="6"/>
        <v>0</v>
      </c>
      <c r="E345" s="179"/>
      <c r="F345" s="179"/>
      <c r="G345" s="180"/>
    </row>
    <row r="346" spans="1:7">
      <c r="A346" s="215" t="s">
        <v>183</v>
      </c>
      <c r="B346" s="248"/>
      <c r="C346" s="79">
        <f t="shared" si="7"/>
        <v>0</v>
      </c>
      <c r="D346" s="174">
        <f t="shared" si="6"/>
        <v>0</v>
      </c>
      <c r="E346" s="179"/>
      <c r="F346" s="179"/>
      <c r="G346" s="180"/>
    </row>
    <row r="347" spans="1:7">
      <c r="A347" s="215" t="s">
        <v>184</v>
      </c>
      <c r="B347" s="248"/>
      <c r="C347" s="79">
        <f t="shared" si="7"/>
        <v>0</v>
      </c>
      <c r="D347" s="174">
        <f t="shared" si="6"/>
        <v>0</v>
      </c>
      <c r="E347" s="179"/>
      <c r="F347" s="179"/>
      <c r="G347" s="180"/>
    </row>
    <row r="348" spans="1:7">
      <c r="A348" s="215" t="s">
        <v>185</v>
      </c>
      <c r="B348" s="248"/>
      <c r="C348" s="79">
        <f t="shared" si="7"/>
        <v>0</v>
      </c>
      <c r="D348" s="174">
        <f t="shared" si="6"/>
        <v>0</v>
      </c>
      <c r="E348" s="179"/>
      <c r="F348" s="179"/>
      <c r="G348" s="180"/>
    </row>
    <row r="349" spans="1:7">
      <c r="A349" s="215" t="s">
        <v>186</v>
      </c>
      <c r="B349" s="248"/>
      <c r="C349" s="79">
        <f t="shared" si="7"/>
        <v>0</v>
      </c>
      <c r="D349" s="174">
        <f t="shared" si="6"/>
        <v>0</v>
      </c>
      <c r="E349" s="179"/>
      <c r="F349" s="179"/>
      <c r="G349" s="180"/>
    </row>
    <row r="350" spans="1:7">
      <c r="A350" s="215" t="s">
        <v>187</v>
      </c>
      <c r="B350" s="248"/>
      <c r="C350" s="79">
        <f t="shared" si="7"/>
        <v>0</v>
      </c>
      <c r="D350" s="174">
        <f t="shared" si="6"/>
        <v>0</v>
      </c>
      <c r="E350" s="179"/>
      <c r="F350" s="179"/>
      <c r="G350" s="180"/>
    </row>
    <row r="351" spans="1:7">
      <c r="A351" s="215" t="s">
        <v>188</v>
      </c>
      <c r="B351" s="248"/>
      <c r="C351" s="79">
        <f t="shared" si="7"/>
        <v>0</v>
      </c>
      <c r="D351" s="174">
        <f t="shared" si="6"/>
        <v>0</v>
      </c>
      <c r="E351" s="179"/>
      <c r="F351" s="179"/>
      <c r="G351" s="180"/>
    </row>
    <row r="352" spans="1:7">
      <c r="A352" s="215" t="s">
        <v>189</v>
      </c>
      <c r="B352" s="248"/>
      <c r="C352" s="79">
        <f t="shared" si="7"/>
        <v>0</v>
      </c>
      <c r="D352" s="174">
        <f t="shared" si="6"/>
        <v>0</v>
      </c>
      <c r="E352" s="179"/>
      <c r="F352" s="179"/>
      <c r="G352" s="180"/>
    </row>
    <row r="353" spans="1:7">
      <c r="A353" s="215" t="s">
        <v>190</v>
      </c>
      <c r="B353" s="248"/>
      <c r="C353" s="79">
        <f t="shared" si="7"/>
        <v>0</v>
      </c>
      <c r="D353" s="174">
        <f t="shared" si="6"/>
        <v>0</v>
      </c>
      <c r="E353" s="179"/>
      <c r="F353" s="179"/>
      <c r="G353" s="180"/>
    </row>
    <row r="354" spans="1:7">
      <c r="A354" s="215" t="s">
        <v>191</v>
      </c>
      <c r="B354" s="248"/>
      <c r="C354" s="79">
        <f t="shared" si="7"/>
        <v>0</v>
      </c>
      <c r="D354" s="174">
        <f t="shared" si="6"/>
        <v>0</v>
      </c>
      <c r="E354" s="179"/>
      <c r="F354" s="179"/>
      <c r="G354" s="180"/>
    </row>
    <row r="355" spans="1:7">
      <c r="A355" s="215" t="s">
        <v>192</v>
      </c>
      <c r="B355" s="248"/>
      <c r="C355" s="79">
        <f t="shared" si="7"/>
        <v>0</v>
      </c>
      <c r="D355" s="174">
        <f t="shared" si="6"/>
        <v>0</v>
      </c>
      <c r="E355" s="179"/>
      <c r="F355" s="179"/>
      <c r="G355" s="180"/>
    </row>
    <row r="356" spans="1:7">
      <c r="A356" s="215" t="s">
        <v>193</v>
      </c>
      <c r="B356" s="248"/>
      <c r="C356" s="79">
        <f t="shared" si="7"/>
        <v>0</v>
      </c>
      <c r="D356" s="174">
        <f t="shared" si="6"/>
        <v>0</v>
      </c>
      <c r="E356" s="179"/>
      <c r="F356" s="179"/>
      <c r="G356" s="180"/>
    </row>
    <row r="357" spans="1:7">
      <c r="A357" s="215" t="s">
        <v>194</v>
      </c>
      <c r="B357" s="248"/>
      <c r="C357" s="79">
        <f t="shared" si="7"/>
        <v>0</v>
      </c>
      <c r="D357" s="174">
        <f t="shared" si="6"/>
        <v>0</v>
      </c>
      <c r="E357" s="179"/>
      <c r="F357" s="179"/>
      <c r="G357" s="180"/>
    </row>
    <row r="358" spans="1:7">
      <c r="A358" s="215" t="s">
        <v>195</v>
      </c>
      <c r="B358" s="248"/>
      <c r="C358" s="79">
        <f t="shared" si="7"/>
        <v>0</v>
      </c>
      <c r="D358" s="174">
        <f t="shared" si="6"/>
        <v>0</v>
      </c>
      <c r="E358" s="179"/>
      <c r="F358" s="179"/>
      <c r="G358" s="180"/>
    </row>
    <row r="359" spans="1:7">
      <c r="A359" s="215" t="s">
        <v>196</v>
      </c>
      <c r="B359" s="248"/>
      <c r="C359" s="79">
        <f t="shared" si="7"/>
        <v>0</v>
      </c>
      <c r="D359" s="174">
        <f t="shared" si="6"/>
        <v>0</v>
      </c>
      <c r="E359" s="179"/>
      <c r="F359" s="179"/>
      <c r="G359" s="180"/>
    </row>
    <row r="360" spans="1:7">
      <c r="A360" s="215" t="s">
        <v>197</v>
      </c>
      <c r="B360" s="248"/>
      <c r="C360" s="79">
        <f t="shared" si="7"/>
        <v>0</v>
      </c>
      <c r="D360" s="174">
        <f t="shared" si="6"/>
        <v>0</v>
      </c>
      <c r="E360" s="179"/>
      <c r="F360" s="179"/>
      <c r="G360" s="180"/>
    </row>
    <row r="361" spans="1:7">
      <c r="A361" s="215" t="s">
        <v>198</v>
      </c>
      <c r="B361" s="248"/>
      <c r="C361" s="79">
        <f t="shared" si="7"/>
        <v>0</v>
      </c>
      <c r="D361" s="174">
        <f t="shared" si="6"/>
        <v>0</v>
      </c>
      <c r="E361" s="179"/>
      <c r="F361" s="179"/>
      <c r="G361" s="180"/>
    </row>
    <row r="362" spans="1:7">
      <c r="A362" s="215" t="s">
        <v>199</v>
      </c>
      <c r="B362" s="248"/>
      <c r="C362" s="79">
        <f t="shared" si="7"/>
        <v>0</v>
      </c>
      <c r="D362" s="174">
        <f t="shared" si="6"/>
        <v>0</v>
      </c>
      <c r="E362" s="179"/>
      <c r="F362" s="179"/>
      <c r="G362" s="180"/>
    </row>
    <row r="363" spans="1:7">
      <c r="A363" s="215" t="s">
        <v>200</v>
      </c>
      <c r="B363" s="248"/>
      <c r="C363" s="79">
        <f t="shared" si="7"/>
        <v>0</v>
      </c>
      <c r="D363" s="174">
        <f t="shared" si="6"/>
        <v>0</v>
      </c>
      <c r="E363" s="179"/>
      <c r="F363" s="179"/>
      <c r="G363" s="180"/>
    </row>
    <row r="364" spans="1:7">
      <c r="A364" s="215" t="s">
        <v>201</v>
      </c>
      <c r="B364" s="248"/>
      <c r="C364" s="79">
        <f t="shared" si="7"/>
        <v>0</v>
      </c>
      <c r="D364" s="174">
        <f t="shared" si="6"/>
        <v>0</v>
      </c>
      <c r="E364" s="179"/>
      <c r="F364" s="179"/>
      <c r="G364" s="180"/>
    </row>
    <row r="365" spans="1:7">
      <c r="A365" s="215" t="s">
        <v>202</v>
      </c>
      <c r="B365" s="248"/>
      <c r="C365" s="79">
        <f t="shared" si="7"/>
        <v>0</v>
      </c>
      <c r="D365" s="174">
        <f t="shared" si="6"/>
        <v>0</v>
      </c>
      <c r="E365" s="179"/>
      <c r="F365" s="179"/>
      <c r="G365" s="180"/>
    </row>
    <row r="366" spans="1:7">
      <c r="A366" s="215" t="s">
        <v>203</v>
      </c>
      <c r="B366" s="248"/>
      <c r="C366" s="79">
        <f t="shared" si="7"/>
        <v>0</v>
      </c>
      <c r="D366" s="174">
        <f t="shared" si="6"/>
        <v>0</v>
      </c>
      <c r="E366" s="179"/>
      <c r="F366" s="179"/>
      <c r="G366" s="180"/>
    </row>
    <row r="367" spans="1:7">
      <c r="A367" s="215" t="s">
        <v>204</v>
      </c>
      <c r="B367" s="248"/>
      <c r="C367" s="79">
        <f t="shared" si="7"/>
        <v>0</v>
      </c>
      <c r="D367" s="174">
        <f t="shared" si="6"/>
        <v>0</v>
      </c>
      <c r="E367" s="179"/>
      <c r="F367" s="179"/>
      <c r="G367" s="180"/>
    </row>
    <row r="368" spans="1:7">
      <c r="A368" s="215" t="s">
        <v>205</v>
      </c>
      <c r="B368" s="248"/>
      <c r="C368" s="79">
        <f t="shared" si="7"/>
        <v>0</v>
      </c>
      <c r="D368" s="174">
        <f t="shared" si="6"/>
        <v>0</v>
      </c>
      <c r="E368" s="179"/>
      <c r="F368" s="179"/>
      <c r="G368" s="180"/>
    </row>
    <row r="369" spans="1:7">
      <c r="A369" s="215" t="s">
        <v>206</v>
      </c>
      <c r="B369" s="248"/>
      <c r="C369" s="79">
        <f t="shared" si="7"/>
        <v>0</v>
      </c>
      <c r="D369" s="174">
        <f t="shared" si="6"/>
        <v>0</v>
      </c>
      <c r="E369" s="179"/>
      <c r="F369" s="179"/>
      <c r="G369" s="180"/>
    </row>
    <row r="370" spans="1:7">
      <c r="A370" s="215" t="s">
        <v>207</v>
      </c>
      <c r="B370" s="248"/>
      <c r="C370" s="79">
        <f t="shared" si="7"/>
        <v>0</v>
      </c>
      <c r="D370" s="174">
        <f t="shared" si="6"/>
        <v>0</v>
      </c>
      <c r="E370" s="179"/>
      <c r="F370" s="179"/>
      <c r="G370" s="180"/>
    </row>
    <row r="371" spans="1:7">
      <c r="A371" s="215" t="s">
        <v>208</v>
      </c>
      <c r="B371" s="248"/>
      <c r="C371" s="79">
        <f t="shared" si="7"/>
        <v>0</v>
      </c>
      <c r="D371" s="174">
        <f t="shared" si="6"/>
        <v>0</v>
      </c>
      <c r="E371" s="179"/>
      <c r="F371" s="179"/>
      <c r="G371" s="180"/>
    </row>
    <row r="372" spans="1:7">
      <c r="A372" s="215" t="s">
        <v>209</v>
      </c>
      <c r="B372" s="248"/>
      <c r="C372" s="79">
        <f t="shared" si="7"/>
        <v>0</v>
      </c>
      <c r="D372" s="174">
        <f t="shared" si="6"/>
        <v>0</v>
      </c>
      <c r="E372" s="179"/>
      <c r="F372" s="179"/>
      <c r="G372" s="180"/>
    </row>
    <row r="373" spans="1:7">
      <c r="A373" s="215" t="s">
        <v>210</v>
      </c>
      <c r="B373" s="248"/>
      <c r="C373" s="79">
        <f t="shared" si="7"/>
        <v>0</v>
      </c>
      <c r="D373" s="174">
        <f t="shared" si="6"/>
        <v>0</v>
      </c>
      <c r="E373" s="179"/>
      <c r="F373" s="179"/>
      <c r="G373" s="180"/>
    </row>
    <row r="374" spans="1:7">
      <c r="A374" s="215" t="s">
        <v>211</v>
      </c>
      <c r="B374" s="248"/>
      <c r="C374" s="79">
        <f t="shared" si="7"/>
        <v>0</v>
      </c>
      <c r="D374" s="174">
        <f t="shared" si="6"/>
        <v>0</v>
      </c>
      <c r="E374" s="179"/>
      <c r="F374" s="179"/>
      <c r="G374" s="180"/>
    </row>
    <row r="375" spans="1:7">
      <c r="A375" s="215" t="s">
        <v>212</v>
      </c>
      <c r="B375" s="248"/>
      <c r="C375" s="79">
        <f t="shared" si="7"/>
        <v>0</v>
      </c>
      <c r="D375" s="174">
        <f t="shared" si="6"/>
        <v>0</v>
      </c>
      <c r="E375" s="179"/>
      <c r="F375" s="179"/>
      <c r="G375" s="180"/>
    </row>
    <row r="376" spans="1:7">
      <c r="A376" s="215" t="s">
        <v>213</v>
      </c>
      <c r="B376" s="248"/>
      <c r="C376" s="79">
        <f t="shared" si="7"/>
        <v>0</v>
      </c>
      <c r="D376" s="174">
        <f t="shared" si="6"/>
        <v>0</v>
      </c>
      <c r="E376" s="179"/>
      <c r="F376" s="179"/>
      <c r="G376" s="180"/>
    </row>
    <row r="377" spans="1:7">
      <c r="A377" s="215" t="s">
        <v>214</v>
      </c>
      <c r="B377" s="248"/>
      <c r="C377" s="79">
        <f t="shared" si="7"/>
        <v>0</v>
      </c>
      <c r="D377" s="174">
        <f t="shared" si="6"/>
        <v>0</v>
      </c>
      <c r="E377" s="179"/>
      <c r="F377" s="179"/>
      <c r="G377" s="180"/>
    </row>
    <row r="378" spans="1:7">
      <c r="A378" s="215" t="s">
        <v>215</v>
      </c>
      <c r="B378" s="248"/>
      <c r="C378" s="79">
        <f t="shared" si="7"/>
        <v>0</v>
      </c>
      <c r="D378" s="174">
        <f t="shared" si="6"/>
        <v>0</v>
      </c>
      <c r="E378" s="179"/>
      <c r="F378" s="179"/>
      <c r="G378" s="180"/>
    </row>
    <row r="379" spans="1:7">
      <c r="A379" s="215" t="s">
        <v>216</v>
      </c>
      <c r="B379" s="248"/>
      <c r="C379" s="79">
        <f t="shared" si="7"/>
        <v>0</v>
      </c>
      <c r="D379" s="174">
        <f t="shared" si="6"/>
        <v>0</v>
      </c>
      <c r="E379" s="179"/>
      <c r="F379" s="179"/>
      <c r="G379" s="180"/>
    </row>
    <row r="380" spans="1:7">
      <c r="A380" s="215" t="s">
        <v>217</v>
      </c>
      <c r="B380" s="248"/>
      <c r="C380" s="79">
        <f t="shared" si="7"/>
        <v>0</v>
      </c>
      <c r="D380" s="174">
        <f t="shared" si="6"/>
        <v>0</v>
      </c>
      <c r="E380" s="179"/>
      <c r="F380" s="179"/>
      <c r="G380" s="180"/>
    </row>
    <row r="381" spans="1:7">
      <c r="A381" s="215" t="s">
        <v>218</v>
      </c>
      <c r="B381" s="248"/>
      <c r="C381" s="79">
        <f t="shared" si="7"/>
        <v>0</v>
      </c>
      <c r="D381" s="174">
        <f t="shared" si="6"/>
        <v>0</v>
      </c>
      <c r="E381" s="179"/>
      <c r="F381" s="179"/>
      <c r="G381" s="180"/>
    </row>
    <row r="382" spans="1:7">
      <c r="A382" s="215" t="s">
        <v>219</v>
      </c>
      <c r="B382" s="248"/>
      <c r="C382" s="79">
        <f t="shared" si="7"/>
        <v>0</v>
      </c>
      <c r="D382" s="174">
        <f t="shared" si="6"/>
        <v>0</v>
      </c>
      <c r="E382" s="179"/>
      <c r="F382" s="179"/>
      <c r="G382" s="180"/>
    </row>
    <row r="383" spans="1:7">
      <c r="A383" s="215" t="s">
        <v>220</v>
      </c>
      <c r="B383" s="248"/>
      <c r="C383" s="79">
        <f t="shared" si="7"/>
        <v>0</v>
      </c>
      <c r="D383" s="174">
        <f t="shared" si="6"/>
        <v>0</v>
      </c>
      <c r="E383" s="179"/>
      <c r="F383" s="179"/>
      <c r="G383" s="180"/>
    </row>
    <row r="384" spans="1:7">
      <c r="A384" s="215" t="s">
        <v>221</v>
      </c>
      <c r="B384" s="248"/>
      <c r="C384" s="79">
        <f t="shared" si="7"/>
        <v>0</v>
      </c>
      <c r="D384" s="174">
        <f t="shared" si="6"/>
        <v>0</v>
      </c>
      <c r="E384" s="179"/>
      <c r="F384" s="179"/>
      <c r="G384" s="180"/>
    </row>
    <row r="385" ht="15.75" spans="1:7">
      <c r="A385" s="217" t="s">
        <v>221</v>
      </c>
      <c r="B385" s="218"/>
      <c r="C385" s="79">
        <f t="shared" si="7"/>
        <v>0</v>
      </c>
      <c r="D385" s="184"/>
      <c r="E385" s="184">
        <f>IF(B385&lt;=E$60,0.1*MAX(0,(B385-E$60)),MAX(0,(B385-E$60))*0.1+0.5*(MAX(0,B385-E$58)))</f>
        <v>0</v>
      </c>
      <c r="F385" s="184"/>
      <c r="G385" s="185"/>
    </row>
    <row r="386" ht="15.75" spans="1:7">
      <c r="A386" s="186"/>
      <c r="B386" s="219">
        <v>189.2</v>
      </c>
      <c r="C386" s="79">
        <f t="shared" si="7"/>
        <v>0</v>
      </c>
      <c r="D386" s="220"/>
      <c r="E386" s="221" t="e">
        <f>AVERAGE(E335:E384)</f>
        <v>#DIV/0!</v>
      </c>
      <c r="F386" s="221" t="e">
        <f>AVERAGE(F335:F384)</f>
        <v>#DIV/0!</v>
      </c>
      <c r="G386" s="222"/>
    </row>
    <row r="387" ht="52.5" customHeight="1" spans="1:7">
      <c r="A387" s="191" t="s">
        <v>233</v>
      </c>
      <c r="B387" s="192"/>
      <c r="C387" s="79">
        <f t="shared" si="7"/>
        <v>189.2</v>
      </c>
      <c r="D387" s="193"/>
      <c r="E387" s="194">
        <f>B387</f>
        <v>0</v>
      </c>
      <c r="F387" s="195" t="e">
        <f>B392</f>
        <v>#DIV/0!</v>
      </c>
      <c r="G387" s="196"/>
    </row>
    <row r="388" ht="54.75" customHeight="1" spans="1:7">
      <c r="A388" s="197" t="s">
        <v>224</v>
      </c>
      <c r="B388" s="198"/>
      <c r="D388" s="199"/>
      <c r="E388" s="200"/>
      <c r="F388" s="200"/>
      <c r="G388" s="201"/>
    </row>
    <row r="389" ht="78" customHeight="1" spans="1:7">
      <c r="A389" s="202" t="s">
        <v>225</v>
      </c>
      <c r="B389" s="203"/>
      <c r="D389" s="184"/>
      <c r="E389" s="183">
        <f>0.6*E387</f>
        <v>0</v>
      </c>
      <c r="F389" s="183" t="e">
        <f>0.6*F387</f>
        <v>#DIV/0!</v>
      </c>
      <c r="G389" s="204"/>
    </row>
    <row r="390" customHeight="1"/>
    <row r="391" ht="51.75" spans="1:2">
      <c r="A391" s="205" t="s">
        <v>224</v>
      </c>
      <c r="B391" s="166">
        <f>B388</f>
        <v>0</v>
      </c>
    </row>
    <row r="392" spans="1:2">
      <c r="A392" s="542" t="s">
        <v>226</v>
      </c>
      <c r="B392" s="236" t="e">
        <f>AVERAGE(B340:B379)</f>
        <v>#DIV/0!</v>
      </c>
    </row>
    <row r="393" spans="1:2">
      <c r="A393" s="543" t="s">
        <v>227</v>
      </c>
      <c r="B393" s="237" t="e">
        <f>AVERAGE(B345:B374)</f>
        <v>#DIV/0!</v>
      </c>
    </row>
    <row r="394" ht="15.75" spans="1:2">
      <c r="A394" s="544" t="s">
        <v>228</v>
      </c>
      <c r="B394" s="238" t="e">
        <f>AVERAGE(B351:B369)</f>
        <v>#DIV/0!</v>
      </c>
    </row>
    <row r="395" ht="15.75"/>
    <row r="396" ht="15.75" customHeight="1" spans="1:7">
      <c r="A396" s="155" t="s">
        <v>165</v>
      </c>
      <c r="B396" s="156" t="s">
        <v>408</v>
      </c>
      <c r="C396" s="157"/>
      <c r="D396" s="158"/>
      <c r="E396" s="159">
        <f>(1-E451)^(1/3)-1</f>
        <v>0</v>
      </c>
      <c r="F396" s="160">
        <f>(1-F451)^(1/3)-1</f>
        <v>0</v>
      </c>
      <c r="G396" s="161"/>
    </row>
    <row r="397" ht="77.25" spans="1:7">
      <c r="A397" s="162"/>
      <c r="B397" s="130" t="s">
        <v>167</v>
      </c>
      <c r="D397" s="130" t="s">
        <v>168</v>
      </c>
      <c r="E397" s="130" t="s">
        <v>169</v>
      </c>
      <c r="F397" s="130" t="s">
        <v>169</v>
      </c>
      <c r="G397" s="130"/>
    </row>
    <row r="398" ht="15.75" spans="1:7">
      <c r="A398" s="163"/>
      <c r="B398" s="164" t="s">
        <v>409</v>
      </c>
      <c r="D398" s="164" t="s">
        <v>171</v>
      </c>
      <c r="E398" s="538" t="s">
        <v>401</v>
      </c>
      <c r="F398" s="539" t="s">
        <v>402</v>
      </c>
      <c r="G398" s="166"/>
    </row>
    <row r="399" ht="15.75" spans="1:7">
      <c r="A399" s="167">
        <v>1</v>
      </c>
      <c r="B399" s="212">
        <v>2</v>
      </c>
      <c r="D399" s="131">
        <v>3</v>
      </c>
      <c r="E399" s="169">
        <v>4</v>
      </c>
      <c r="F399" s="131">
        <v>5</v>
      </c>
      <c r="G399" s="169"/>
    </row>
    <row r="400" spans="1:7">
      <c r="A400" s="545" t="s">
        <v>172</v>
      </c>
      <c r="B400" s="247"/>
      <c r="D400" s="174">
        <f>IF(B400=0,0,IF(B400&lt;=E$454,0,B400-E$454)/B400)</f>
        <v>0</v>
      </c>
      <c r="E400" s="175"/>
      <c r="F400" s="175"/>
      <c r="G400" s="176"/>
    </row>
    <row r="401" spans="1:7">
      <c r="A401" s="546" t="s">
        <v>173</v>
      </c>
      <c r="B401" s="248"/>
      <c r="D401" s="174">
        <f t="shared" ref="D401:D449" si="8">IF(B401=0,0,IF(B401&lt;=E$454,0,B401-E$454)/B401)</f>
        <v>0</v>
      </c>
      <c r="E401" s="179"/>
      <c r="F401" s="179"/>
      <c r="G401" s="180"/>
    </row>
    <row r="402" spans="1:7">
      <c r="A402" s="546" t="s">
        <v>174</v>
      </c>
      <c r="B402" s="248"/>
      <c r="C402">
        <v>0</v>
      </c>
      <c r="D402" s="174">
        <f t="shared" si="8"/>
        <v>0</v>
      </c>
      <c r="E402" s="179"/>
      <c r="F402" s="179"/>
      <c r="G402" s="180"/>
    </row>
    <row r="403" spans="1:7">
      <c r="A403" s="546" t="s">
        <v>175</v>
      </c>
      <c r="B403" s="248"/>
      <c r="C403" s="79">
        <f>B402</f>
        <v>0</v>
      </c>
      <c r="D403" s="174">
        <f t="shared" si="8"/>
        <v>0</v>
      </c>
      <c r="E403" s="179"/>
      <c r="F403" s="179"/>
      <c r="G403" s="180"/>
    </row>
    <row r="404" spans="1:7">
      <c r="A404" s="546" t="s">
        <v>176</v>
      </c>
      <c r="B404" s="248"/>
      <c r="C404" s="79">
        <f t="shared" ref="C404:C452" si="9">B403</f>
        <v>0</v>
      </c>
      <c r="D404" s="174">
        <f t="shared" si="8"/>
        <v>0</v>
      </c>
      <c r="E404" s="179"/>
      <c r="F404" s="179"/>
      <c r="G404" s="180"/>
    </row>
    <row r="405" spans="1:7">
      <c r="A405" s="546" t="s">
        <v>177</v>
      </c>
      <c r="B405" s="248"/>
      <c r="C405" s="79">
        <f t="shared" si="9"/>
        <v>0</v>
      </c>
      <c r="D405" s="174">
        <f t="shared" si="8"/>
        <v>0</v>
      </c>
      <c r="E405" s="179"/>
      <c r="F405" s="179"/>
      <c r="G405" s="180"/>
    </row>
    <row r="406" spans="1:7">
      <c r="A406" s="546" t="s">
        <v>178</v>
      </c>
      <c r="B406" s="248"/>
      <c r="C406" s="79">
        <f t="shared" si="9"/>
        <v>0</v>
      </c>
      <c r="D406" s="174">
        <f t="shared" si="8"/>
        <v>0</v>
      </c>
      <c r="E406" s="179"/>
      <c r="F406" s="179"/>
      <c r="G406" s="180"/>
    </row>
    <row r="407" spans="1:7">
      <c r="A407" s="215" t="s">
        <v>179</v>
      </c>
      <c r="B407" s="248"/>
      <c r="C407" s="79">
        <f t="shared" si="9"/>
        <v>0</v>
      </c>
      <c r="D407" s="174">
        <f t="shared" si="8"/>
        <v>0</v>
      </c>
      <c r="E407" s="179"/>
      <c r="F407" s="179"/>
      <c r="G407" s="180"/>
    </row>
    <row r="408" spans="1:7">
      <c r="A408" s="215" t="s">
        <v>180</v>
      </c>
      <c r="B408" s="248"/>
      <c r="C408" s="79">
        <f t="shared" si="9"/>
        <v>0</v>
      </c>
      <c r="D408" s="174">
        <f t="shared" si="8"/>
        <v>0</v>
      </c>
      <c r="E408" s="179"/>
      <c r="F408" s="179"/>
      <c r="G408" s="180"/>
    </row>
    <row r="409" spans="1:7">
      <c r="A409" s="215" t="s">
        <v>181</v>
      </c>
      <c r="B409" s="248"/>
      <c r="C409" s="79">
        <f t="shared" si="9"/>
        <v>0</v>
      </c>
      <c r="D409" s="174">
        <f t="shared" si="8"/>
        <v>0</v>
      </c>
      <c r="E409" s="179"/>
      <c r="F409" s="179"/>
      <c r="G409" s="180"/>
    </row>
    <row r="410" spans="1:7">
      <c r="A410" s="215" t="s">
        <v>182</v>
      </c>
      <c r="B410" s="248"/>
      <c r="C410" s="79">
        <f t="shared" si="9"/>
        <v>0</v>
      </c>
      <c r="D410" s="174">
        <f t="shared" si="8"/>
        <v>0</v>
      </c>
      <c r="E410" s="179"/>
      <c r="F410" s="179"/>
      <c r="G410" s="180"/>
    </row>
    <row r="411" spans="1:7">
      <c r="A411" s="215" t="s">
        <v>183</v>
      </c>
      <c r="B411" s="248"/>
      <c r="C411" s="79">
        <f t="shared" si="9"/>
        <v>0</v>
      </c>
      <c r="D411" s="174">
        <f t="shared" si="8"/>
        <v>0</v>
      </c>
      <c r="E411" s="179"/>
      <c r="F411" s="179"/>
      <c r="G411" s="180"/>
    </row>
    <row r="412" spans="1:7">
      <c r="A412" s="215" t="s">
        <v>184</v>
      </c>
      <c r="B412" s="248"/>
      <c r="C412" s="79">
        <f t="shared" si="9"/>
        <v>0</v>
      </c>
      <c r="D412" s="174">
        <f t="shared" si="8"/>
        <v>0</v>
      </c>
      <c r="E412" s="179"/>
      <c r="F412" s="179"/>
      <c r="G412" s="180"/>
    </row>
    <row r="413" spans="1:7">
      <c r="A413" s="215" t="s">
        <v>185</v>
      </c>
      <c r="B413" s="248"/>
      <c r="C413" s="79">
        <f t="shared" si="9"/>
        <v>0</v>
      </c>
      <c r="D413" s="174">
        <f t="shared" si="8"/>
        <v>0</v>
      </c>
      <c r="E413" s="179"/>
      <c r="F413" s="179"/>
      <c r="G413" s="180"/>
    </row>
    <row r="414" spans="1:7">
      <c r="A414" s="215" t="s">
        <v>186</v>
      </c>
      <c r="B414" s="248"/>
      <c r="C414" s="79">
        <f t="shared" si="9"/>
        <v>0</v>
      </c>
      <c r="D414" s="174">
        <f t="shared" si="8"/>
        <v>0</v>
      </c>
      <c r="E414" s="179"/>
      <c r="F414" s="179"/>
      <c r="G414" s="180"/>
    </row>
    <row r="415" spans="1:7">
      <c r="A415" s="215" t="s">
        <v>187</v>
      </c>
      <c r="B415" s="248"/>
      <c r="C415" s="79">
        <f t="shared" si="9"/>
        <v>0</v>
      </c>
      <c r="D415" s="174">
        <f t="shared" si="8"/>
        <v>0</v>
      </c>
      <c r="E415" s="179"/>
      <c r="F415" s="179"/>
      <c r="G415" s="180"/>
    </row>
    <row r="416" spans="1:7">
      <c r="A416" s="215" t="s">
        <v>188</v>
      </c>
      <c r="B416" s="248"/>
      <c r="C416" s="79">
        <f t="shared" si="9"/>
        <v>0</v>
      </c>
      <c r="D416" s="174">
        <f t="shared" si="8"/>
        <v>0</v>
      </c>
      <c r="E416" s="179"/>
      <c r="F416" s="179"/>
      <c r="G416" s="180"/>
    </row>
    <row r="417" spans="1:7">
      <c r="A417" s="215" t="s">
        <v>189</v>
      </c>
      <c r="B417" s="248"/>
      <c r="C417" s="79">
        <f t="shared" si="9"/>
        <v>0</v>
      </c>
      <c r="D417" s="174">
        <f t="shared" si="8"/>
        <v>0</v>
      </c>
      <c r="E417" s="179"/>
      <c r="F417" s="179"/>
      <c r="G417" s="180"/>
    </row>
    <row r="418" spans="1:7">
      <c r="A418" s="215" t="s">
        <v>190</v>
      </c>
      <c r="B418" s="248"/>
      <c r="C418" s="79">
        <f t="shared" si="9"/>
        <v>0</v>
      </c>
      <c r="D418" s="174">
        <f t="shared" si="8"/>
        <v>0</v>
      </c>
      <c r="E418" s="179"/>
      <c r="F418" s="179"/>
      <c r="G418" s="180"/>
    </row>
    <row r="419" spans="1:7">
      <c r="A419" s="215" t="s">
        <v>191</v>
      </c>
      <c r="B419" s="248"/>
      <c r="C419" s="79">
        <f t="shared" si="9"/>
        <v>0</v>
      </c>
      <c r="D419" s="174">
        <f t="shared" si="8"/>
        <v>0</v>
      </c>
      <c r="E419" s="179"/>
      <c r="F419" s="179"/>
      <c r="G419" s="180"/>
    </row>
    <row r="420" spans="1:7">
      <c r="A420" s="215" t="s">
        <v>192</v>
      </c>
      <c r="B420" s="248"/>
      <c r="C420" s="79">
        <f t="shared" si="9"/>
        <v>0</v>
      </c>
      <c r="D420" s="174">
        <f t="shared" si="8"/>
        <v>0</v>
      </c>
      <c r="E420" s="179"/>
      <c r="F420" s="179"/>
      <c r="G420" s="180"/>
    </row>
    <row r="421" spans="1:7">
      <c r="A421" s="215" t="s">
        <v>193</v>
      </c>
      <c r="B421" s="248"/>
      <c r="C421" s="79">
        <f t="shared" si="9"/>
        <v>0</v>
      </c>
      <c r="D421" s="174">
        <f t="shared" si="8"/>
        <v>0</v>
      </c>
      <c r="E421" s="179"/>
      <c r="F421" s="179"/>
      <c r="G421" s="180"/>
    </row>
    <row r="422" spans="1:7">
      <c r="A422" s="215" t="s">
        <v>194</v>
      </c>
      <c r="B422" s="248"/>
      <c r="C422" s="79">
        <f t="shared" si="9"/>
        <v>0</v>
      </c>
      <c r="D422" s="174">
        <f t="shared" si="8"/>
        <v>0</v>
      </c>
      <c r="E422" s="179"/>
      <c r="F422" s="179"/>
      <c r="G422" s="180"/>
    </row>
    <row r="423" spans="1:7">
      <c r="A423" s="215" t="s">
        <v>195</v>
      </c>
      <c r="B423" s="248"/>
      <c r="C423" s="79">
        <f t="shared" si="9"/>
        <v>0</v>
      </c>
      <c r="D423" s="174">
        <f t="shared" si="8"/>
        <v>0</v>
      </c>
      <c r="E423" s="179"/>
      <c r="F423" s="179"/>
      <c r="G423" s="180"/>
    </row>
    <row r="424" spans="1:7">
      <c r="A424" s="215" t="s">
        <v>196</v>
      </c>
      <c r="B424" s="248"/>
      <c r="C424" s="79">
        <f t="shared" si="9"/>
        <v>0</v>
      </c>
      <c r="D424" s="174">
        <f t="shared" si="8"/>
        <v>0</v>
      </c>
      <c r="E424" s="179"/>
      <c r="F424" s="179"/>
      <c r="G424" s="180"/>
    </row>
    <row r="425" spans="1:7">
      <c r="A425" s="215" t="s">
        <v>197</v>
      </c>
      <c r="B425" s="248"/>
      <c r="C425" s="79">
        <f t="shared" si="9"/>
        <v>0</v>
      </c>
      <c r="D425" s="174">
        <f t="shared" si="8"/>
        <v>0</v>
      </c>
      <c r="E425" s="179"/>
      <c r="F425" s="179"/>
      <c r="G425" s="180"/>
    </row>
    <row r="426" spans="1:7">
      <c r="A426" s="215" t="s">
        <v>198</v>
      </c>
      <c r="B426" s="248"/>
      <c r="C426" s="79">
        <f t="shared" si="9"/>
        <v>0</v>
      </c>
      <c r="D426" s="174">
        <f t="shared" si="8"/>
        <v>0</v>
      </c>
      <c r="E426" s="179"/>
      <c r="F426" s="179"/>
      <c r="G426" s="180"/>
    </row>
    <row r="427" spans="1:7">
      <c r="A427" s="215" t="s">
        <v>199</v>
      </c>
      <c r="B427" s="248"/>
      <c r="C427" s="79">
        <f t="shared" si="9"/>
        <v>0</v>
      </c>
      <c r="D427" s="174">
        <f t="shared" si="8"/>
        <v>0</v>
      </c>
      <c r="E427" s="179"/>
      <c r="F427" s="179"/>
      <c r="G427" s="180"/>
    </row>
    <row r="428" spans="1:7">
      <c r="A428" s="215" t="s">
        <v>200</v>
      </c>
      <c r="B428" s="248"/>
      <c r="C428" s="79">
        <f t="shared" si="9"/>
        <v>0</v>
      </c>
      <c r="D428" s="174">
        <f t="shared" si="8"/>
        <v>0</v>
      </c>
      <c r="E428" s="179"/>
      <c r="F428" s="179"/>
      <c r="G428" s="180"/>
    </row>
    <row r="429" spans="1:7">
      <c r="A429" s="215" t="s">
        <v>201</v>
      </c>
      <c r="B429" s="248"/>
      <c r="C429" s="79">
        <f t="shared" si="9"/>
        <v>0</v>
      </c>
      <c r="D429" s="174">
        <f t="shared" si="8"/>
        <v>0</v>
      </c>
      <c r="E429" s="179"/>
      <c r="F429" s="179"/>
      <c r="G429" s="180"/>
    </row>
    <row r="430" spans="1:7">
      <c r="A430" s="215" t="s">
        <v>202</v>
      </c>
      <c r="B430" s="248"/>
      <c r="C430" s="79">
        <f t="shared" si="9"/>
        <v>0</v>
      </c>
      <c r="D430" s="174">
        <f t="shared" si="8"/>
        <v>0</v>
      </c>
      <c r="E430" s="179"/>
      <c r="F430" s="179"/>
      <c r="G430" s="180"/>
    </row>
    <row r="431" spans="1:7">
      <c r="A431" s="215" t="s">
        <v>203</v>
      </c>
      <c r="B431" s="248"/>
      <c r="C431" s="79">
        <f t="shared" si="9"/>
        <v>0</v>
      </c>
      <c r="D431" s="174">
        <f t="shared" si="8"/>
        <v>0</v>
      </c>
      <c r="E431" s="179"/>
      <c r="F431" s="179"/>
      <c r="G431" s="180"/>
    </row>
    <row r="432" spans="1:7">
      <c r="A432" s="215" t="s">
        <v>204</v>
      </c>
      <c r="B432" s="248"/>
      <c r="C432" s="79">
        <f t="shared" si="9"/>
        <v>0</v>
      </c>
      <c r="D432" s="174">
        <f t="shared" si="8"/>
        <v>0</v>
      </c>
      <c r="E432" s="179"/>
      <c r="F432" s="179"/>
      <c r="G432" s="180"/>
    </row>
    <row r="433" spans="1:7">
      <c r="A433" s="215" t="s">
        <v>205</v>
      </c>
      <c r="B433" s="248"/>
      <c r="C433" s="79">
        <f t="shared" si="9"/>
        <v>0</v>
      </c>
      <c r="D433" s="174">
        <f t="shared" si="8"/>
        <v>0</v>
      </c>
      <c r="E433" s="179"/>
      <c r="F433" s="179"/>
      <c r="G433" s="180"/>
    </row>
    <row r="434" spans="1:7">
      <c r="A434" s="215" t="s">
        <v>206</v>
      </c>
      <c r="B434" s="248"/>
      <c r="C434" s="79">
        <f t="shared" si="9"/>
        <v>0</v>
      </c>
      <c r="D434" s="174">
        <f t="shared" si="8"/>
        <v>0</v>
      </c>
      <c r="E434" s="179"/>
      <c r="F434" s="179"/>
      <c r="G434" s="180"/>
    </row>
    <row r="435" spans="1:7">
      <c r="A435" s="215" t="s">
        <v>207</v>
      </c>
      <c r="B435" s="248"/>
      <c r="C435" s="79">
        <f t="shared" si="9"/>
        <v>0</v>
      </c>
      <c r="D435" s="174">
        <f t="shared" si="8"/>
        <v>0</v>
      </c>
      <c r="E435" s="179"/>
      <c r="F435" s="179"/>
      <c r="G435" s="180"/>
    </row>
    <row r="436" spans="1:7">
      <c r="A436" s="215" t="s">
        <v>208</v>
      </c>
      <c r="B436" s="248"/>
      <c r="C436" s="79">
        <f t="shared" si="9"/>
        <v>0</v>
      </c>
      <c r="D436" s="174">
        <f t="shared" si="8"/>
        <v>0</v>
      </c>
      <c r="E436" s="179"/>
      <c r="F436" s="179"/>
      <c r="G436" s="180"/>
    </row>
    <row r="437" spans="1:7">
      <c r="A437" s="215" t="s">
        <v>209</v>
      </c>
      <c r="B437" s="248"/>
      <c r="C437" s="79">
        <f t="shared" si="9"/>
        <v>0</v>
      </c>
      <c r="D437" s="174">
        <f t="shared" si="8"/>
        <v>0</v>
      </c>
      <c r="E437" s="179"/>
      <c r="F437" s="179"/>
      <c r="G437" s="180"/>
    </row>
    <row r="438" spans="1:7">
      <c r="A438" s="215" t="s">
        <v>210</v>
      </c>
      <c r="B438" s="248"/>
      <c r="C438" s="79">
        <f t="shared" si="9"/>
        <v>0</v>
      </c>
      <c r="D438" s="174">
        <f t="shared" si="8"/>
        <v>0</v>
      </c>
      <c r="E438" s="179"/>
      <c r="F438" s="179"/>
      <c r="G438" s="180"/>
    </row>
    <row r="439" spans="1:7">
      <c r="A439" s="215" t="s">
        <v>211</v>
      </c>
      <c r="B439" s="248"/>
      <c r="C439" s="79">
        <f t="shared" si="9"/>
        <v>0</v>
      </c>
      <c r="D439" s="174">
        <f t="shared" si="8"/>
        <v>0</v>
      </c>
      <c r="E439" s="179"/>
      <c r="F439" s="179"/>
      <c r="G439" s="180"/>
    </row>
    <row r="440" spans="1:7">
      <c r="A440" s="215" t="s">
        <v>212</v>
      </c>
      <c r="B440" s="248"/>
      <c r="C440" s="79">
        <f t="shared" si="9"/>
        <v>0</v>
      </c>
      <c r="D440" s="174">
        <f t="shared" si="8"/>
        <v>0</v>
      </c>
      <c r="E440" s="179"/>
      <c r="F440" s="179"/>
      <c r="G440" s="180"/>
    </row>
    <row r="441" spans="1:7">
      <c r="A441" s="215" t="s">
        <v>213</v>
      </c>
      <c r="B441" s="248"/>
      <c r="C441" s="79">
        <f t="shared" si="9"/>
        <v>0</v>
      </c>
      <c r="D441" s="174">
        <f t="shared" si="8"/>
        <v>0</v>
      </c>
      <c r="E441" s="179"/>
      <c r="F441" s="179"/>
      <c r="G441" s="180"/>
    </row>
    <row r="442" spans="1:7">
      <c r="A442" s="215" t="s">
        <v>214</v>
      </c>
      <c r="B442" s="248"/>
      <c r="C442" s="79">
        <f t="shared" si="9"/>
        <v>0</v>
      </c>
      <c r="D442" s="174">
        <f t="shared" si="8"/>
        <v>0</v>
      </c>
      <c r="E442" s="179"/>
      <c r="F442" s="179"/>
      <c r="G442" s="180"/>
    </row>
    <row r="443" spans="1:7">
      <c r="A443" s="215" t="s">
        <v>215</v>
      </c>
      <c r="B443" s="248"/>
      <c r="C443" s="79">
        <f t="shared" si="9"/>
        <v>0</v>
      </c>
      <c r="D443" s="174">
        <f t="shared" si="8"/>
        <v>0</v>
      </c>
      <c r="E443" s="179"/>
      <c r="F443" s="179"/>
      <c r="G443" s="180"/>
    </row>
    <row r="444" spans="1:7">
      <c r="A444" s="215" t="s">
        <v>216</v>
      </c>
      <c r="B444" s="248"/>
      <c r="C444" s="79">
        <f t="shared" si="9"/>
        <v>0</v>
      </c>
      <c r="D444" s="174">
        <f t="shared" si="8"/>
        <v>0</v>
      </c>
      <c r="E444" s="179"/>
      <c r="F444" s="179"/>
      <c r="G444" s="180"/>
    </row>
    <row r="445" spans="1:7">
      <c r="A445" s="215" t="s">
        <v>217</v>
      </c>
      <c r="B445" s="248"/>
      <c r="C445" s="79">
        <f t="shared" si="9"/>
        <v>0</v>
      </c>
      <c r="D445" s="174">
        <f t="shared" si="8"/>
        <v>0</v>
      </c>
      <c r="E445" s="179"/>
      <c r="F445" s="179"/>
      <c r="G445" s="180"/>
    </row>
    <row r="446" spans="1:7">
      <c r="A446" s="215" t="s">
        <v>218</v>
      </c>
      <c r="B446" s="248"/>
      <c r="C446" s="79">
        <f t="shared" si="9"/>
        <v>0</v>
      </c>
      <c r="D446" s="174">
        <f t="shared" si="8"/>
        <v>0</v>
      </c>
      <c r="E446" s="179"/>
      <c r="F446" s="179"/>
      <c r="G446" s="180"/>
    </row>
    <row r="447" spans="1:7">
      <c r="A447" s="215" t="s">
        <v>219</v>
      </c>
      <c r="B447" s="248"/>
      <c r="C447" s="79">
        <f t="shared" si="9"/>
        <v>0</v>
      </c>
      <c r="D447" s="174">
        <f t="shared" si="8"/>
        <v>0</v>
      </c>
      <c r="E447" s="179"/>
      <c r="F447" s="179"/>
      <c r="G447" s="180"/>
    </row>
    <row r="448" spans="1:7">
      <c r="A448" s="215" t="s">
        <v>220</v>
      </c>
      <c r="B448" s="248"/>
      <c r="C448" s="79">
        <f t="shared" si="9"/>
        <v>0</v>
      </c>
      <c r="D448" s="174">
        <f t="shared" si="8"/>
        <v>0</v>
      </c>
      <c r="E448" s="179"/>
      <c r="F448" s="179"/>
      <c r="G448" s="180"/>
    </row>
    <row r="449" spans="1:7">
      <c r="A449" s="215" t="s">
        <v>221</v>
      </c>
      <c r="B449" s="248"/>
      <c r="C449" s="79">
        <f t="shared" si="9"/>
        <v>0</v>
      </c>
      <c r="D449" s="174">
        <f t="shared" si="8"/>
        <v>0</v>
      </c>
      <c r="E449" s="179"/>
      <c r="F449" s="179"/>
      <c r="G449" s="180"/>
    </row>
    <row r="450" ht="15.75" spans="1:7">
      <c r="A450" s="217" t="s">
        <v>221</v>
      </c>
      <c r="B450" s="218"/>
      <c r="C450" s="79">
        <f t="shared" si="9"/>
        <v>0</v>
      </c>
      <c r="D450" s="184"/>
      <c r="E450" s="184"/>
      <c r="F450" s="184"/>
      <c r="G450" s="185"/>
    </row>
    <row r="451" ht="15.75" spans="1:7">
      <c r="A451" s="186"/>
      <c r="B451" s="219">
        <v>189.2</v>
      </c>
      <c r="C451" s="79">
        <f t="shared" si="9"/>
        <v>0</v>
      </c>
      <c r="D451" s="220"/>
      <c r="E451" s="221"/>
      <c r="F451" s="221"/>
      <c r="G451" s="222"/>
    </row>
    <row r="452" ht="53.25" customHeight="1" spans="1:7">
      <c r="A452" s="191" t="s">
        <v>233</v>
      </c>
      <c r="B452" s="192"/>
      <c r="C452" s="79">
        <f t="shared" si="9"/>
        <v>189.2</v>
      </c>
      <c r="D452" s="193"/>
      <c r="E452" s="194">
        <f>B452</f>
        <v>0</v>
      </c>
      <c r="F452" s="195" t="e">
        <f>B457</f>
        <v>#DIV/0!</v>
      </c>
      <c r="G452" s="196"/>
    </row>
    <row r="453" ht="51.75" customHeight="1" spans="1:7">
      <c r="A453" s="197" t="s">
        <v>224</v>
      </c>
      <c r="B453" s="198"/>
      <c r="D453" s="199"/>
      <c r="E453" s="200"/>
      <c r="F453" s="200"/>
      <c r="G453" s="201"/>
    </row>
    <row r="454" ht="77.25" customHeight="1" spans="1:7">
      <c r="A454" s="202" t="s">
        <v>225</v>
      </c>
      <c r="B454" s="203"/>
      <c r="D454" s="184"/>
      <c r="E454" s="183">
        <f>0.6*E452</f>
        <v>0</v>
      </c>
      <c r="F454" s="183" t="e">
        <f>0.6*F452</f>
        <v>#DIV/0!</v>
      </c>
      <c r="G454" s="204"/>
    </row>
    <row r="455" ht="15.75"/>
    <row r="456" ht="51.75" spans="1:2">
      <c r="A456" s="205" t="s">
        <v>224</v>
      </c>
      <c r="B456" s="166">
        <f>B453</f>
        <v>0</v>
      </c>
    </row>
    <row r="457" spans="1:2">
      <c r="A457" s="542" t="s">
        <v>226</v>
      </c>
      <c r="B457" s="236" t="e">
        <f>AVERAGE(B405:B444)</f>
        <v>#DIV/0!</v>
      </c>
    </row>
    <row r="458" spans="1:2">
      <c r="A458" s="543" t="s">
        <v>227</v>
      </c>
      <c r="B458" s="237" t="e">
        <f>AVERAGE(B410:B439)</f>
        <v>#DIV/0!</v>
      </c>
    </row>
    <row r="459" ht="15.75" spans="1:2">
      <c r="A459" s="544" t="s">
        <v>228</v>
      </c>
      <c r="B459" s="238" t="e">
        <f>AVERAGE(B416:B434)</f>
        <v>#DIV/0!</v>
      </c>
    </row>
  </sheetData>
  <mergeCells count="14">
    <mergeCell ref="B2:D2"/>
    <mergeCell ref="B69:D69"/>
    <mergeCell ref="B134:D134"/>
    <mergeCell ref="B200:D200"/>
    <mergeCell ref="B266:D266"/>
    <mergeCell ref="B331:D331"/>
    <mergeCell ref="B396:D396"/>
    <mergeCell ref="A2:A4"/>
    <mergeCell ref="A69:A71"/>
    <mergeCell ref="A134:A136"/>
    <mergeCell ref="A200:A202"/>
    <mergeCell ref="A266:A268"/>
    <mergeCell ref="A331:A333"/>
    <mergeCell ref="A396:A398"/>
  </mergeCells>
  <pageMargins left="0.7" right="0.7" top="0.75" bottom="0.75" header="0.3" footer="0.3"/>
  <pageSetup paperSize="9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Лист17"/>
  <dimension ref="A1:N461"/>
  <sheetViews>
    <sheetView topLeftCell="A451" workbookViewId="0">
      <selection activeCell="E424" sqref="E424:E426"/>
    </sheetView>
  </sheetViews>
  <sheetFormatPr defaultColWidth="9.18095238095238" defaultRowHeight="15"/>
  <cols>
    <col min="1" max="1" width="13" style="152" customWidth="1"/>
    <col min="2" max="2" width="9.18095238095238" style="152"/>
    <col min="3" max="3" width="8.72380952380952"/>
    <col min="4" max="4" width="9.18095238095238" style="152"/>
    <col min="5" max="6" width="9.45714285714286" style="152" customWidth="1"/>
    <col min="7" max="16384" width="9.18095238095238" style="152"/>
  </cols>
  <sheetData>
    <row r="1" ht="15.75" spans="5:6">
      <c r="E1" s="153">
        <v>0.1</v>
      </c>
      <c r="F1" s="154">
        <v>0.4</v>
      </c>
    </row>
    <row r="2" ht="23.25" customHeight="1" spans="1:7">
      <c r="A2" s="155" t="s">
        <v>165</v>
      </c>
      <c r="B2" s="156" t="s">
        <v>166</v>
      </c>
      <c r="C2" s="157"/>
      <c r="D2" s="158"/>
      <c r="E2" s="159">
        <f>(1-E57)^(1/3)-1</f>
        <v>-0.0306190834094824</v>
      </c>
      <c r="F2" s="160">
        <f>(1-F57)^(1/3)-1</f>
        <v>-0.0306190834094824</v>
      </c>
      <c r="G2" s="161"/>
    </row>
    <row r="3" ht="77.25" spans="1:7">
      <c r="A3" s="162"/>
      <c r="B3" s="130" t="s">
        <v>167</v>
      </c>
      <c r="C3" s="72"/>
      <c r="D3" s="130" t="s">
        <v>168</v>
      </c>
      <c r="E3" s="130" t="s">
        <v>169</v>
      </c>
      <c r="F3" s="130" t="s">
        <v>169</v>
      </c>
      <c r="G3" s="130"/>
    </row>
    <row r="4" ht="26.25" spans="1:7">
      <c r="A4" s="163"/>
      <c r="B4" s="164" t="s">
        <v>170</v>
      </c>
      <c r="C4" s="72"/>
      <c r="D4" s="164" t="s">
        <v>171</v>
      </c>
      <c r="E4" s="538" t="s">
        <v>401</v>
      </c>
      <c r="F4" s="539" t="s">
        <v>402</v>
      </c>
      <c r="G4" s="166"/>
    </row>
    <row r="5" ht="15.75" spans="1:7">
      <c r="A5" s="167">
        <v>1</v>
      </c>
      <c r="B5" s="168">
        <v>2</v>
      </c>
      <c r="C5" s="76"/>
      <c r="D5" s="169">
        <v>3</v>
      </c>
      <c r="E5" s="170">
        <v>4</v>
      </c>
      <c r="F5" s="171">
        <v>5</v>
      </c>
      <c r="G5" s="170"/>
    </row>
    <row r="6" spans="1:7">
      <c r="A6" s="540" t="s">
        <v>172</v>
      </c>
      <c r="B6" s="173">
        <v>2.1</v>
      </c>
      <c r="C6" s="79">
        <v>0</v>
      </c>
      <c r="D6" s="174">
        <v>0</v>
      </c>
      <c r="E6" s="175">
        <v>0</v>
      </c>
      <c r="F6" s="175">
        <v>0</v>
      </c>
      <c r="G6" s="176">
        <v>0</v>
      </c>
    </row>
    <row r="7" spans="1:7">
      <c r="A7" s="541" t="s">
        <v>173</v>
      </c>
      <c r="B7" s="178">
        <v>4.6</v>
      </c>
      <c r="C7" s="79">
        <f>B6</f>
        <v>2.1</v>
      </c>
      <c r="D7" s="174">
        <v>0</v>
      </c>
      <c r="E7" s="179">
        <v>0</v>
      </c>
      <c r="F7" s="179">
        <v>0</v>
      </c>
      <c r="G7" s="180">
        <v>0</v>
      </c>
    </row>
    <row r="8" spans="1:7">
      <c r="A8" s="541" t="s">
        <v>174</v>
      </c>
      <c r="B8" s="178">
        <v>6.7</v>
      </c>
      <c r="C8" s="79">
        <f t="shared" ref="C8:C56" si="0">B7</f>
        <v>4.6</v>
      </c>
      <c r="D8" s="174">
        <v>0</v>
      </c>
      <c r="E8" s="179">
        <v>0</v>
      </c>
      <c r="F8" s="179">
        <v>0</v>
      </c>
      <c r="G8" s="180">
        <v>0</v>
      </c>
    </row>
    <row r="9" spans="1:7">
      <c r="A9" s="541" t="s">
        <v>175</v>
      </c>
      <c r="B9" s="178">
        <v>8.5</v>
      </c>
      <c r="C9" s="79">
        <f t="shared" si="0"/>
        <v>6.7</v>
      </c>
      <c r="D9" s="174">
        <v>0</v>
      </c>
      <c r="E9" s="179">
        <v>0</v>
      </c>
      <c r="F9" s="179">
        <v>0</v>
      </c>
      <c r="G9" s="180">
        <v>0</v>
      </c>
    </row>
    <row r="10" spans="1:7">
      <c r="A10" s="541" t="s">
        <v>176</v>
      </c>
      <c r="B10" s="178">
        <v>10.2</v>
      </c>
      <c r="C10" s="79">
        <f t="shared" si="0"/>
        <v>8.5</v>
      </c>
      <c r="D10" s="174">
        <v>0</v>
      </c>
      <c r="E10" s="179">
        <v>0</v>
      </c>
      <c r="F10" s="179">
        <v>0</v>
      </c>
      <c r="G10" s="180">
        <v>0</v>
      </c>
    </row>
    <row r="11" spans="1:7">
      <c r="A11" s="541" t="s">
        <v>177</v>
      </c>
      <c r="B11" s="178">
        <v>11.8</v>
      </c>
      <c r="C11" s="79">
        <f t="shared" si="0"/>
        <v>10.2</v>
      </c>
      <c r="D11" s="174">
        <v>0</v>
      </c>
      <c r="E11" s="179">
        <v>0</v>
      </c>
      <c r="F11" s="179">
        <v>0</v>
      </c>
      <c r="G11" s="180">
        <v>0</v>
      </c>
    </row>
    <row r="12" spans="1:7">
      <c r="A12" s="541" t="s">
        <v>178</v>
      </c>
      <c r="B12" s="178">
        <v>13.3</v>
      </c>
      <c r="C12" s="79">
        <f t="shared" si="0"/>
        <v>11.8</v>
      </c>
      <c r="D12" s="174">
        <v>0</v>
      </c>
      <c r="E12" s="179">
        <v>0</v>
      </c>
      <c r="F12" s="179">
        <v>0</v>
      </c>
      <c r="G12" s="180">
        <v>0</v>
      </c>
    </row>
    <row r="13" spans="1:7">
      <c r="A13" s="177" t="s">
        <v>179</v>
      </c>
      <c r="B13" s="178">
        <v>14.8</v>
      </c>
      <c r="C13" s="79">
        <f t="shared" si="0"/>
        <v>13.3</v>
      </c>
      <c r="D13" s="174">
        <v>0</v>
      </c>
      <c r="E13" s="179">
        <v>0</v>
      </c>
      <c r="F13" s="179">
        <v>0</v>
      </c>
      <c r="G13" s="180">
        <v>0</v>
      </c>
    </row>
    <row r="14" spans="1:7">
      <c r="A14" s="177" t="s">
        <v>180</v>
      </c>
      <c r="B14" s="178">
        <v>16.4</v>
      </c>
      <c r="C14" s="79">
        <f t="shared" si="0"/>
        <v>14.8</v>
      </c>
      <c r="D14" s="174">
        <v>0</v>
      </c>
      <c r="E14" s="179">
        <v>0</v>
      </c>
      <c r="F14" s="179">
        <v>0</v>
      </c>
      <c r="G14" s="180">
        <v>0</v>
      </c>
    </row>
    <row r="15" spans="1:7">
      <c r="A15" s="177" t="s">
        <v>181</v>
      </c>
      <c r="B15" s="178">
        <v>17.9</v>
      </c>
      <c r="C15" s="79">
        <f t="shared" si="0"/>
        <v>16.4</v>
      </c>
      <c r="D15" s="174">
        <v>0</v>
      </c>
      <c r="E15" s="179">
        <v>0</v>
      </c>
      <c r="F15" s="179">
        <v>0</v>
      </c>
      <c r="G15" s="180">
        <v>0</v>
      </c>
    </row>
    <row r="16" spans="1:7">
      <c r="A16" s="177" t="s">
        <v>182</v>
      </c>
      <c r="B16" s="178">
        <v>19.6</v>
      </c>
      <c r="C16" s="79">
        <f t="shared" si="0"/>
        <v>17.9</v>
      </c>
      <c r="D16" s="174">
        <v>0</v>
      </c>
      <c r="E16" s="179">
        <v>0</v>
      </c>
      <c r="F16" s="179">
        <v>0</v>
      </c>
      <c r="G16" s="180">
        <v>0</v>
      </c>
    </row>
    <row r="17" spans="1:7">
      <c r="A17" s="177" t="s">
        <v>183</v>
      </c>
      <c r="B17" s="178">
        <v>21.2</v>
      </c>
      <c r="C17" s="79">
        <f t="shared" si="0"/>
        <v>19.6</v>
      </c>
      <c r="D17" s="174">
        <v>0</v>
      </c>
      <c r="E17" s="179">
        <v>0</v>
      </c>
      <c r="F17" s="179">
        <v>0</v>
      </c>
      <c r="G17" s="180">
        <v>0</v>
      </c>
    </row>
    <row r="18" spans="1:7">
      <c r="A18" s="177" t="s">
        <v>184</v>
      </c>
      <c r="B18" s="178">
        <v>22.7</v>
      </c>
      <c r="C18" s="79">
        <f t="shared" si="0"/>
        <v>21.2</v>
      </c>
      <c r="D18" s="174">
        <v>0</v>
      </c>
      <c r="E18" s="179">
        <v>0</v>
      </c>
      <c r="F18" s="179">
        <v>0</v>
      </c>
      <c r="G18" s="180">
        <v>0</v>
      </c>
    </row>
    <row r="19" spans="1:7">
      <c r="A19" s="177" t="s">
        <v>185</v>
      </c>
      <c r="B19" s="178">
        <v>24.4</v>
      </c>
      <c r="C19" s="79">
        <f t="shared" si="0"/>
        <v>22.7</v>
      </c>
      <c r="D19" s="174">
        <v>0</v>
      </c>
      <c r="E19" s="179">
        <v>0</v>
      </c>
      <c r="F19" s="179">
        <v>0</v>
      </c>
      <c r="G19" s="180">
        <v>0</v>
      </c>
    </row>
    <row r="20" spans="1:7">
      <c r="A20" s="177" t="s">
        <v>186</v>
      </c>
      <c r="B20" s="178">
        <v>26.2</v>
      </c>
      <c r="C20" s="79">
        <f t="shared" si="0"/>
        <v>24.4</v>
      </c>
      <c r="D20" s="174">
        <v>0</v>
      </c>
      <c r="E20" s="179">
        <v>0</v>
      </c>
      <c r="F20" s="179">
        <v>0</v>
      </c>
      <c r="G20" s="180">
        <v>0</v>
      </c>
    </row>
    <row r="21" spans="1:7">
      <c r="A21" s="177" t="s">
        <v>187</v>
      </c>
      <c r="B21" s="178">
        <v>28</v>
      </c>
      <c r="C21" s="79">
        <f t="shared" si="0"/>
        <v>26.2</v>
      </c>
      <c r="D21" s="174">
        <v>0</v>
      </c>
      <c r="E21" s="179">
        <v>0</v>
      </c>
      <c r="F21" s="179">
        <v>0</v>
      </c>
      <c r="G21" s="180">
        <v>0</v>
      </c>
    </row>
    <row r="22" spans="1:7">
      <c r="A22" s="177" t="s">
        <v>188</v>
      </c>
      <c r="B22" s="178">
        <v>29.8</v>
      </c>
      <c r="C22" s="79">
        <f t="shared" si="0"/>
        <v>28</v>
      </c>
      <c r="D22" s="174">
        <v>0</v>
      </c>
      <c r="E22" s="179">
        <v>0</v>
      </c>
      <c r="F22" s="179">
        <v>0</v>
      </c>
      <c r="G22" s="180">
        <v>0</v>
      </c>
    </row>
    <row r="23" spans="1:7">
      <c r="A23" s="177" t="s">
        <v>189</v>
      </c>
      <c r="B23" s="178">
        <v>31.6</v>
      </c>
      <c r="C23" s="79">
        <f t="shared" si="0"/>
        <v>29.8</v>
      </c>
      <c r="D23" s="174">
        <v>0</v>
      </c>
      <c r="E23" s="179">
        <v>0</v>
      </c>
      <c r="F23" s="179">
        <v>0</v>
      </c>
      <c r="G23" s="180">
        <v>0.00451898734177215</v>
      </c>
    </row>
    <row r="24" spans="1:7">
      <c r="A24" s="177" t="s">
        <v>190</v>
      </c>
      <c r="B24" s="178">
        <v>33.3</v>
      </c>
      <c r="C24" s="79">
        <f t="shared" si="0"/>
        <v>31.6</v>
      </c>
      <c r="D24" s="174">
        <v>0</v>
      </c>
      <c r="E24" s="179">
        <v>0</v>
      </c>
      <c r="F24" s="179">
        <v>0</v>
      </c>
      <c r="G24" s="180">
        <v>0.00939339339339339</v>
      </c>
    </row>
    <row r="25" spans="1:7">
      <c r="A25" s="177" t="s">
        <v>191</v>
      </c>
      <c r="B25" s="178">
        <v>35.1</v>
      </c>
      <c r="C25" s="79">
        <f t="shared" si="0"/>
        <v>33.3</v>
      </c>
      <c r="D25" s="174">
        <v>0.050683760683761</v>
      </c>
      <c r="E25" s="179"/>
      <c r="F25" s="179">
        <v>0.0050683760683761</v>
      </c>
      <c r="G25" s="180">
        <v>0.014039886039886</v>
      </c>
    </row>
    <row r="26" spans="1:7">
      <c r="A26" s="177" t="s">
        <v>192</v>
      </c>
      <c r="B26" s="178">
        <v>36.9</v>
      </c>
      <c r="C26" s="79">
        <f t="shared" si="0"/>
        <v>35.1</v>
      </c>
      <c r="D26" s="174">
        <v>0.0969918699186994</v>
      </c>
      <c r="E26" s="179">
        <v>0.00969918699186994</v>
      </c>
      <c r="F26" s="179">
        <v>0.00969918699186994</v>
      </c>
      <c r="G26" s="180">
        <v>0.0182330623306233</v>
      </c>
    </row>
    <row r="27" spans="1:7">
      <c r="A27" s="177" t="s">
        <v>193</v>
      </c>
      <c r="B27" s="178">
        <v>38.9</v>
      </c>
      <c r="C27" s="79">
        <f t="shared" si="0"/>
        <v>36.9</v>
      </c>
      <c r="D27" s="174">
        <v>0.143419023136247</v>
      </c>
      <c r="E27" s="179">
        <v>0.0143419023136247</v>
      </c>
      <c r="F27" s="179">
        <v>0.0143419023136247</v>
      </c>
      <c r="G27" s="180">
        <v>0.0224370179948586</v>
      </c>
    </row>
    <row r="28" spans="1:7">
      <c r="A28" s="177" t="s">
        <v>194</v>
      </c>
      <c r="B28" s="178">
        <v>41</v>
      </c>
      <c r="C28" s="79">
        <f t="shared" si="0"/>
        <v>38.9</v>
      </c>
      <c r="D28" s="174">
        <v>0.187292682926829</v>
      </c>
      <c r="E28" s="179">
        <v>0.0187292682926829</v>
      </c>
      <c r="F28" s="179">
        <v>0.0187292682926829</v>
      </c>
      <c r="G28" s="180">
        <v>0.026409756097561</v>
      </c>
    </row>
    <row r="29" spans="1:7">
      <c r="A29" s="177" t="s">
        <v>195</v>
      </c>
      <c r="B29" s="178">
        <v>43</v>
      </c>
      <c r="C29" s="79">
        <f t="shared" si="0"/>
        <v>41</v>
      </c>
      <c r="D29" s="174">
        <v>0.225093023255814</v>
      </c>
      <c r="E29" s="179">
        <v>0.0225093023255814</v>
      </c>
      <c r="F29" s="179">
        <v>0.0225093023255814</v>
      </c>
      <c r="G29" s="180">
        <v>0.0298325581395349</v>
      </c>
    </row>
    <row r="30" spans="1:7">
      <c r="A30" s="177" t="s">
        <v>196</v>
      </c>
      <c r="B30" s="178">
        <v>45.1</v>
      </c>
      <c r="C30" s="79">
        <f t="shared" si="0"/>
        <v>43</v>
      </c>
      <c r="D30" s="174">
        <v>0.261175166297118</v>
      </c>
      <c r="E30" s="179">
        <v>0.0261175166297118</v>
      </c>
      <c r="F30" s="179">
        <v>0.0261175166297118</v>
      </c>
      <c r="G30" s="180">
        <v>0.03309977827051</v>
      </c>
    </row>
    <row r="31" spans="1:7">
      <c r="A31" s="177" t="s">
        <v>197</v>
      </c>
      <c r="B31" s="178">
        <v>47.2</v>
      </c>
      <c r="C31" s="79">
        <f t="shared" si="0"/>
        <v>45.1</v>
      </c>
      <c r="D31" s="174">
        <v>0.294046610169492</v>
      </c>
      <c r="E31" s="179">
        <v>0.0294046610169492</v>
      </c>
      <c r="F31" s="179">
        <v>0.0294046610169492</v>
      </c>
      <c r="G31" s="180">
        <v>0.0360762711864407</v>
      </c>
    </row>
    <row r="32" spans="1:7">
      <c r="A32" s="177" t="s">
        <v>198</v>
      </c>
      <c r="B32" s="178">
        <v>49.5</v>
      </c>
      <c r="C32" s="79">
        <f t="shared" si="0"/>
        <v>47.2</v>
      </c>
      <c r="D32" s="174">
        <v>0.326848484848485</v>
      </c>
      <c r="E32" s="179">
        <v>0.0326848484848485</v>
      </c>
      <c r="F32" s="179">
        <v>0.0326848484848485</v>
      </c>
      <c r="G32" s="180">
        <v>0.0390464646464646</v>
      </c>
    </row>
    <row r="33" spans="1:7">
      <c r="A33" s="177" t="s">
        <v>199</v>
      </c>
      <c r="B33" s="178">
        <v>52</v>
      </c>
      <c r="C33" s="79">
        <f t="shared" si="0"/>
        <v>49.5</v>
      </c>
      <c r="D33" s="174">
        <v>0.359211538461539</v>
      </c>
      <c r="E33" s="179">
        <v>0.0359211538461539</v>
      </c>
      <c r="F33" s="179">
        <v>0.0359211538461539</v>
      </c>
      <c r="G33" s="180">
        <v>0.0518615384615384</v>
      </c>
    </row>
    <row r="34" spans="1:7">
      <c r="A34" s="177" t="s">
        <v>200</v>
      </c>
      <c r="B34" s="178">
        <v>54.8</v>
      </c>
      <c r="C34" s="79">
        <f t="shared" si="0"/>
        <v>52</v>
      </c>
      <c r="D34" s="174">
        <v>0.391952554744526</v>
      </c>
      <c r="E34" s="179">
        <v>0.0391952554744526</v>
      </c>
      <c r="F34" s="179">
        <v>0.0391952554744526</v>
      </c>
      <c r="G34" s="180">
        <v>0.0696496350364963</v>
      </c>
    </row>
    <row r="35" spans="1:7">
      <c r="A35" s="177" t="s">
        <v>201</v>
      </c>
      <c r="B35" s="178">
        <v>57.6</v>
      </c>
      <c r="C35" s="79">
        <f t="shared" si="0"/>
        <v>54.8</v>
      </c>
      <c r="D35" s="174">
        <v>0.421510416666667</v>
      </c>
      <c r="E35" s="179">
        <v>0.0529062500000001</v>
      </c>
      <c r="F35" s="179">
        <v>0.0529062500000001</v>
      </c>
      <c r="G35" s="180">
        <v>0.0857083333333333</v>
      </c>
    </row>
    <row r="36" spans="1:7">
      <c r="A36" s="177" t="s">
        <v>202</v>
      </c>
      <c r="B36" s="178">
        <v>60.4</v>
      </c>
      <c r="C36" s="79">
        <f t="shared" si="0"/>
        <v>57.6</v>
      </c>
      <c r="D36" s="174">
        <v>0.448327814569537</v>
      </c>
      <c r="E36" s="179">
        <v>0.0689966887417219</v>
      </c>
      <c r="F36" s="179">
        <v>0.0689966887417219</v>
      </c>
      <c r="G36" s="180">
        <v>0.100278145695364</v>
      </c>
    </row>
    <row r="37" spans="1:7">
      <c r="A37" s="177" t="s">
        <v>203</v>
      </c>
      <c r="B37" s="178">
        <v>63.3</v>
      </c>
      <c r="C37" s="79">
        <f t="shared" si="0"/>
        <v>60.4</v>
      </c>
      <c r="D37" s="174">
        <v>0.473601895734597</v>
      </c>
      <c r="E37" s="179">
        <v>0.0841611374407584</v>
      </c>
      <c r="F37" s="179">
        <v>0.0841611374407584</v>
      </c>
      <c r="G37" s="180">
        <v>0.114009478672986</v>
      </c>
    </row>
    <row r="38" spans="1:7">
      <c r="A38" s="177" t="s">
        <v>204</v>
      </c>
      <c r="B38" s="178">
        <v>66.4</v>
      </c>
      <c r="C38" s="79">
        <f t="shared" si="0"/>
        <v>63.3</v>
      </c>
      <c r="D38" s="174">
        <v>0.498177710843374</v>
      </c>
      <c r="E38" s="179">
        <v>0.0989066265060242</v>
      </c>
      <c r="F38" s="179">
        <v>0.0989066265060242</v>
      </c>
      <c r="G38" s="180">
        <v>0.127361445783133</v>
      </c>
    </row>
    <row r="39" spans="1:7">
      <c r="A39" s="177" t="s">
        <v>205</v>
      </c>
      <c r="B39" s="178">
        <v>69.8</v>
      </c>
      <c r="C39" s="79">
        <f t="shared" si="0"/>
        <v>66.4</v>
      </c>
      <c r="D39" s="174">
        <v>0.522621776504298</v>
      </c>
      <c r="E39" s="179">
        <v>0.113573065902579</v>
      </c>
      <c r="F39" s="179">
        <v>0.113573065902579</v>
      </c>
      <c r="G39" s="180">
        <v>0.140641833810888</v>
      </c>
    </row>
    <row r="40" spans="1:7">
      <c r="A40" s="177" t="s">
        <v>206</v>
      </c>
      <c r="B40" s="178">
        <v>73.3</v>
      </c>
      <c r="C40" s="79">
        <f t="shared" si="0"/>
        <v>69.8</v>
      </c>
      <c r="D40" s="174">
        <v>0.545416098226467</v>
      </c>
      <c r="E40" s="179">
        <v>0.12724965893588</v>
      </c>
      <c r="F40" s="179">
        <v>0.12724965893588</v>
      </c>
      <c r="G40" s="180">
        <v>0.153025920873124</v>
      </c>
    </row>
    <row r="41" spans="1:7">
      <c r="A41" s="177" t="s">
        <v>207</v>
      </c>
      <c r="B41" s="178">
        <v>77.4</v>
      </c>
      <c r="C41" s="79">
        <f t="shared" si="0"/>
        <v>73.3</v>
      </c>
      <c r="D41" s="174">
        <v>0.569496124031008</v>
      </c>
      <c r="E41" s="179">
        <v>0.141697674418605</v>
      </c>
      <c r="F41" s="179">
        <v>0.141697674418605</v>
      </c>
      <c r="G41" s="180">
        <v>0.166108527131783</v>
      </c>
    </row>
    <row r="42" spans="1:7">
      <c r="A42" s="177" t="s">
        <v>208</v>
      </c>
      <c r="B42" s="178">
        <v>82</v>
      </c>
      <c r="C42" s="79">
        <f t="shared" si="0"/>
        <v>77.4</v>
      </c>
      <c r="D42" s="174">
        <v>0.593646341463415</v>
      </c>
      <c r="E42" s="179">
        <v>0.156187804878049</v>
      </c>
      <c r="F42" s="179">
        <v>0.156187804878049</v>
      </c>
      <c r="G42" s="180">
        <v>0.179229268292683</v>
      </c>
    </row>
    <row r="43" spans="1:7">
      <c r="A43" s="177" t="s">
        <v>209</v>
      </c>
      <c r="B43" s="178">
        <v>87</v>
      </c>
      <c r="C43" s="79">
        <f t="shared" si="0"/>
        <v>82</v>
      </c>
      <c r="D43" s="174">
        <v>0.617</v>
      </c>
      <c r="E43" s="179">
        <v>0.1702</v>
      </c>
      <c r="F43" s="179">
        <v>0.1702</v>
      </c>
      <c r="G43" s="180">
        <v>0.19191724137931</v>
      </c>
    </row>
    <row r="44" spans="1:7">
      <c r="A44" s="177" t="s">
        <v>210</v>
      </c>
      <c r="B44" s="178">
        <v>92.4</v>
      </c>
      <c r="C44" s="79">
        <f t="shared" si="0"/>
        <v>87</v>
      </c>
      <c r="D44" s="174">
        <v>0.639383116883117</v>
      </c>
      <c r="E44" s="179">
        <v>0.18362987012987</v>
      </c>
      <c r="F44" s="179">
        <v>0.18362987012987</v>
      </c>
      <c r="G44" s="180">
        <v>0.204077922077922</v>
      </c>
    </row>
    <row r="45" spans="1:7">
      <c r="A45" s="177" t="s">
        <v>211</v>
      </c>
      <c r="B45" s="178">
        <v>98.7</v>
      </c>
      <c r="C45" s="79">
        <f t="shared" si="0"/>
        <v>92.4</v>
      </c>
      <c r="D45" s="174">
        <v>0.662401215805471</v>
      </c>
      <c r="E45" s="179">
        <v>0.197440729483283</v>
      </c>
      <c r="F45" s="179">
        <v>0.197440729483283</v>
      </c>
      <c r="G45" s="180">
        <v>0.21658358662614</v>
      </c>
    </row>
    <row r="46" spans="1:7">
      <c r="A46" s="177" t="s">
        <v>212</v>
      </c>
      <c r="B46" s="178">
        <v>106</v>
      </c>
      <c r="C46" s="79">
        <f t="shared" si="0"/>
        <v>98.7</v>
      </c>
      <c r="D46" s="174">
        <v>0.685650943396226</v>
      </c>
      <c r="E46" s="179">
        <v>0.211390566037736</v>
      </c>
      <c r="F46" s="179">
        <v>0.211390566037736</v>
      </c>
      <c r="G46" s="180">
        <v>0.229215094339623</v>
      </c>
    </row>
    <row r="47" spans="1:7">
      <c r="A47" s="177" t="s">
        <v>213</v>
      </c>
      <c r="B47" s="178">
        <v>114.1</v>
      </c>
      <c r="C47" s="79">
        <f t="shared" si="0"/>
        <v>106</v>
      </c>
      <c r="D47" s="174">
        <v>0.707966695880806</v>
      </c>
      <c r="E47" s="179">
        <v>0.224780017528484</v>
      </c>
      <c r="F47" s="179">
        <v>0.224780017528484</v>
      </c>
      <c r="G47" s="180">
        <v>0.241339176161262</v>
      </c>
    </row>
    <row r="48" spans="1:7">
      <c r="A48" s="177" t="s">
        <v>214</v>
      </c>
      <c r="B48" s="178">
        <v>124.6</v>
      </c>
      <c r="C48" s="79">
        <f t="shared" si="0"/>
        <v>114.1</v>
      </c>
      <c r="D48" s="174">
        <v>0.732576243980738</v>
      </c>
      <c r="E48" s="179">
        <v>0.239545746388443</v>
      </c>
      <c r="F48" s="179">
        <v>0.239545746388443</v>
      </c>
      <c r="G48" s="180">
        <v>0.254709470304976</v>
      </c>
    </row>
    <row r="49" spans="1:7">
      <c r="A49" s="177" t="s">
        <v>215</v>
      </c>
      <c r="B49" s="178">
        <v>138.7</v>
      </c>
      <c r="C49" s="79">
        <f t="shared" si="0"/>
        <v>124.6</v>
      </c>
      <c r="D49" s="174">
        <v>0.759762076423937</v>
      </c>
      <c r="E49" s="179">
        <v>0.255857245854362</v>
      </c>
      <c r="F49" s="179">
        <v>0.255857245854362</v>
      </c>
      <c r="G49" s="180">
        <v>0.269479452054795</v>
      </c>
    </row>
    <row r="50" spans="1:7">
      <c r="A50" s="177" t="s">
        <v>216</v>
      </c>
      <c r="B50" s="178">
        <v>155.2</v>
      </c>
      <c r="C50" s="79">
        <f t="shared" si="0"/>
        <v>138.7</v>
      </c>
      <c r="D50" s="174">
        <v>0.785302835051546</v>
      </c>
      <c r="E50" s="179">
        <v>0.271181701030928</v>
      </c>
      <c r="F50" s="179">
        <v>0.271181701030928</v>
      </c>
      <c r="G50" s="180">
        <v>0.283355670103093</v>
      </c>
    </row>
    <row r="51" spans="1:7">
      <c r="A51" s="177" t="s">
        <v>217</v>
      </c>
      <c r="B51" s="178">
        <v>176.9</v>
      </c>
      <c r="C51" s="79">
        <f t="shared" si="0"/>
        <v>155.2</v>
      </c>
      <c r="D51" s="174">
        <v>0.811639344262295</v>
      </c>
      <c r="E51" s="179">
        <v>0.286983606557377</v>
      </c>
      <c r="F51" s="179">
        <v>0.286983606557377</v>
      </c>
      <c r="G51" s="180">
        <v>0.297664217071792</v>
      </c>
    </row>
    <row r="52" spans="1:7">
      <c r="A52" s="177" t="s">
        <v>218</v>
      </c>
      <c r="B52" s="178">
        <v>207.6</v>
      </c>
      <c r="C52" s="79">
        <f t="shared" si="0"/>
        <v>176.9</v>
      </c>
      <c r="D52" s="174">
        <v>0.839494219653179</v>
      </c>
      <c r="E52" s="179">
        <v>0.303696531791908</v>
      </c>
      <c r="F52" s="179">
        <v>0.303696531791908</v>
      </c>
      <c r="G52" s="180">
        <v>0.312797687861272</v>
      </c>
    </row>
    <row r="53" spans="1:7">
      <c r="A53" s="177" t="s">
        <v>219</v>
      </c>
      <c r="B53" s="178">
        <v>255.3</v>
      </c>
      <c r="C53" s="79">
        <f t="shared" si="0"/>
        <v>207.6</v>
      </c>
      <c r="D53" s="174">
        <v>0.869482961222092</v>
      </c>
      <c r="E53" s="179">
        <v>0.321689776733255</v>
      </c>
      <c r="F53" s="179">
        <v>0.321689776733255</v>
      </c>
      <c r="G53" s="180">
        <v>0.329090481786134</v>
      </c>
    </row>
    <row r="54" spans="1:7">
      <c r="A54" s="177" t="s">
        <v>220</v>
      </c>
      <c r="B54" s="178">
        <v>339</v>
      </c>
      <c r="C54" s="79">
        <f t="shared" si="0"/>
        <v>255.3</v>
      </c>
      <c r="D54" s="174">
        <v>0.90170796460177</v>
      </c>
      <c r="E54" s="179">
        <v>0.341024778761062</v>
      </c>
      <c r="F54" s="179">
        <v>0.341024778761062</v>
      </c>
      <c r="G54" s="180">
        <v>0.346598230088496</v>
      </c>
    </row>
    <row r="55" spans="1:7">
      <c r="A55" s="177" t="s">
        <v>221</v>
      </c>
      <c r="B55" s="178">
        <v>642.8</v>
      </c>
      <c r="C55" s="79">
        <f t="shared" si="0"/>
        <v>339</v>
      </c>
      <c r="D55" s="174">
        <v>0.948162725575607</v>
      </c>
      <c r="E55" s="179">
        <v>0.368897635345364</v>
      </c>
      <c r="F55" s="179">
        <v>0.368897635345364</v>
      </c>
      <c r="G55" s="180">
        <v>0.371836963285625</v>
      </c>
    </row>
    <row r="56" ht="15.75" spans="1:7">
      <c r="A56" s="181" t="s">
        <v>221</v>
      </c>
      <c r="B56" s="182" t="s">
        <v>410</v>
      </c>
      <c r="C56" s="79">
        <f t="shared" si="0"/>
        <v>642.8</v>
      </c>
      <c r="D56" s="183"/>
      <c r="E56" s="184"/>
      <c r="F56" s="184"/>
      <c r="G56" s="185"/>
    </row>
    <row r="57" ht="15.75" spans="1:7">
      <c r="A57" s="186"/>
      <c r="B57" s="187"/>
      <c r="C57" s="82"/>
      <c r="D57" s="188"/>
      <c r="E57" s="189">
        <v>0.0890733716781988</v>
      </c>
      <c r="F57" s="189">
        <v>0.0890733716781988</v>
      </c>
      <c r="G57" s="190">
        <v>0.0993925299134563</v>
      </c>
    </row>
    <row r="58" ht="51" customHeight="1" spans="1:7">
      <c r="A58" s="191" t="s">
        <v>233</v>
      </c>
      <c r="B58" s="192">
        <v>33.5</v>
      </c>
      <c r="C58" s="82"/>
      <c r="D58" s="193"/>
      <c r="E58" s="194">
        <v>55.535</v>
      </c>
      <c r="F58" s="195">
        <v>55.535</v>
      </c>
      <c r="G58" s="196">
        <v>50.2866666666667</v>
      </c>
    </row>
    <row r="59" ht="51.75" customHeight="1" spans="1:7">
      <c r="A59" s="197" t="s">
        <v>224</v>
      </c>
      <c r="B59" s="198">
        <v>77.5</v>
      </c>
      <c r="C59" s="82"/>
      <c r="D59" s="199"/>
      <c r="E59" s="200"/>
      <c r="F59" s="200"/>
      <c r="G59" s="201"/>
    </row>
    <row r="60" ht="75.75" customHeight="1" spans="1:7">
      <c r="A60" s="202" t="s">
        <v>225</v>
      </c>
      <c r="B60" s="203">
        <v>20.1</v>
      </c>
      <c r="C60" s="78"/>
      <c r="D60" s="184"/>
      <c r="E60" s="183">
        <v>33.321</v>
      </c>
      <c r="F60" s="183">
        <v>33.321</v>
      </c>
      <c r="G60" s="204">
        <v>30.172</v>
      </c>
    </row>
    <row r="61" ht="15.75"/>
    <row r="62" ht="53.25" customHeight="1" spans="1:2">
      <c r="A62" s="205" t="s">
        <v>224</v>
      </c>
      <c r="B62" s="166">
        <f>B59</f>
        <v>77.5</v>
      </c>
    </row>
    <row r="63" spans="1:3">
      <c r="A63" s="542" t="s">
        <v>226</v>
      </c>
      <c r="B63" s="207">
        <f>AVERAGE(B11:B50)</f>
        <v>55.535</v>
      </c>
      <c r="C63" s="95"/>
    </row>
    <row r="64" spans="1:3">
      <c r="A64" s="543" t="s">
        <v>227</v>
      </c>
      <c r="B64" s="209">
        <f>AVERAGE(B16:B45)</f>
        <v>50.2866666666667</v>
      </c>
      <c r="C64" s="96"/>
    </row>
    <row r="65" ht="15.75" spans="1:3">
      <c r="A65" s="544" t="s">
        <v>228</v>
      </c>
      <c r="B65" s="211">
        <f>AVERAGE(B22:B40)</f>
        <v>48.8947368421053</v>
      </c>
      <c r="C65" s="96"/>
    </row>
    <row r="68" ht="15.75"/>
    <row r="69" ht="37.5" customHeight="1" spans="1:7">
      <c r="A69" s="155" t="s">
        <v>165</v>
      </c>
      <c r="B69" s="156" t="s">
        <v>229</v>
      </c>
      <c r="C69" s="157"/>
      <c r="D69" s="158"/>
      <c r="E69" s="159">
        <f>(1-E124)^(1/3)-1</f>
        <v>-0.0256188107473216</v>
      </c>
      <c r="F69" s="160">
        <f>(1-F124)^(1/3)-1</f>
        <v>-0.0256188107473216</v>
      </c>
      <c r="G69" s="161"/>
    </row>
    <row r="70" ht="77.25" spans="1:7">
      <c r="A70" s="162"/>
      <c r="B70" s="130" t="s">
        <v>167</v>
      </c>
      <c r="C70" s="83"/>
      <c r="D70" s="130" t="s">
        <v>168</v>
      </c>
      <c r="E70" s="130" t="s">
        <v>169</v>
      </c>
      <c r="F70" s="130" t="s">
        <v>169</v>
      </c>
      <c r="G70" s="130"/>
    </row>
    <row r="71" ht="26.25" spans="1:7">
      <c r="A71" s="163"/>
      <c r="B71" s="164" t="s">
        <v>230</v>
      </c>
      <c r="C71" s="83"/>
      <c r="D71" s="164" t="s">
        <v>171</v>
      </c>
      <c r="E71" s="538" t="s">
        <v>401</v>
      </c>
      <c r="F71" s="539" t="s">
        <v>402</v>
      </c>
      <c r="G71" s="166"/>
    </row>
    <row r="72" ht="15.75" spans="1:7">
      <c r="A72" s="167">
        <v>1</v>
      </c>
      <c r="B72" s="212">
        <v>2</v>
      </c>
      <c r="C72" s="76"/>
      <c r="D72" s="131">
        <v>3</v>
      </c>
      <c r="E72" s="169">
        <v>4</v>
      </c>
      <c r="F72" s="131">
        <v>5</v>
      </c>
      <c r="G72" s="169"/>
    </row>
    <row r="73" spans="1:7">
      <c r="A73" s="545" t="s">
        <v>172</v>
      </c>
      <c r="B73" s="214">
        <v>19.2</v>
      </c>
      <c r="C73" s="102">
        <v>0</v>
      </c>
      <c r="D73" s="174">
        <v>0</v>
      </c>
      <c r="E73" s="175">
        <v>0</v>
      </c>
      <c r="F73" s="175">
        <v>0</v>
      </c>
      <c r="G73" s="176">
        <v>0</v>
      </c>
    </row>
    <row r="74" spans="1:7">
      <c r="A74" s="546" t="s">
        <v>173</v>
      </c>
      <c r="B74" s="216">
        <v>21.5</v>
      </c>
      <c r="C74" s="79">
        <f>B73</f>
        <v>19.2</v>
      </c>
      <c r="D74" s="174">
        <v>0</v>
      </c>
      <c r="E74" s="179">
        <v>0</v>
      </c>
      <c r="F74" s="179">
        <v>0</v>
      </c>
      <c r="G74" s="180">
        <v>0</v>
      </c>
    </row>
    <row r="75" spans="1:7">
      <c r="A75" s="546" t="s">
        <v>174</v>
      </c>
      <c r="B75" s="216">
        <v>23.5</v>
      </c>
      <c r="C75" s="79">
        <f t="shared" ref="C75:C123" si="1">B74</f>
        <v>21.5</v>
      </c>
      <c r="D75" s="174">
        <v>0</v>
      </c>
      <c r="E75" s="179">
        <v>0</v>
      </c>
      <c r="F75" s="179">
        <v>0</v>
      </c>
      <c r="G75" s="180">
        <v>0</v>
      </c>
    </row>
    <row r="76" spans="1:7">
      <c r="A76" s="546" t="s">
        <v>175</v>
      </c>
      <c r="B76" s="216">
        <v>25.3</v>
      </c>
      <c r="C76" s="79">
        <f t="shared" si="1"/>
        <v>23.5</v>
      </c>
      <c r="D76" s="174">
        <v>0</v>
      </c>
      <c r="E76" s="179">
        <v>0</v>
      </c>
      <c r="F76" s="179">
        <v>0</v>
      </c>
      <c r="G76" s="180">
        <v>0</v>
      </c>
    </row>
    <row r="77" spans="1:7">
      <c r="A77" s="546" t="s">
        <v>176</v>
      </c>
      <c r="B77" s="216">
        <v>26.7</v>
      </c>
      <c r="C77" s="79">
        <f t="shared" si="1"/>
        <v>25.3</v>
      </c>
      <c r="D77" s="174">
        <v>0</v>
      </c>
      <c r="E77" s="179">
        <v>0</v>
      </c>
      <c r="F77" s="179">
        <v>0</v>
      </c>
      <c r="G77" s="180">
        <v>0</v>
      </c>
    </row>
    <row r="78" spans="1:7">
      <c r="A78" s="546" t="s">
        <v>177</v>
      </c>
      <c r="B78" s="216">
        <v>28.1</v>
      </c>
      <c r="C78" s="79">
        <f t="shared" si="1"/>
        <v>26.7</v>
      </c>
      <c r="D78" s="174">
        <v>0</v>
      </c>
      <c r="E78" s="179">
        <v>0</v>
      </c>
      <c r="F78" s="179">
        <v>0</v>
      </c>
      <c r="G78" s="180">
        <v>0</v>
      </c>
    </row>
    <row r="79" spans="1:7">
      <c r="A79" s="546" t="s">
        <v>178</v>
      </c>
      <c r="B79" s="216">
        <v>29.2</v>
      </c>
      <c r="C79" s="79">
        <f t="shared" si="1"/>
        <v>28.1</v>
      </c>
      <c r="D79" s="174">
        <v>0</v>
      </c>
      <c r="E79" s="179">
        <v>0</v>
      </c>
      <c r="F79" s="179">
        <v>0</v>
      </c>
      <c r="G79" s="180">
        <v>0.00163698630136986</v>
      </c>
    </row>
    <row r="80" spans="1:7">
      <c r="A80" s="215" t="s">
        <v>179</v>
      </c>
      <c r="B80" s="216">
        <v>30.3</v>
      </c>
      <c r="C80" s="79">
        <f t="shared" si="1"/>
        <v>29.2</v>
      </c>
      <c r="D80" s="174">
        <v>0.0197524752475246</v>
      </c>
      <c r="E80" s="179"/>
      <c r="F80" s="179">
        <v>0.00197524752475246</v>
      </c>
      <c r="G80" s="180">
        <v>0.00520792079207921</v>
      </c>
    </row>
    <row r="81" spans="1:7">
      <c r="A81" s="215" t="s">
        <v>180</v>
      </c>
      <c r="B81" s="216">
        <v>31.3</v>
      </c>
      <c r="C81" s="79">
        <f t="shared" si="1"/>
        <v>30.3</v>
      </c>
      <c r="D81" s="174">
        <v>0.0510702875399359</v>
      </c>
      <c r="E81" s="179"/>
      <c r="F81" s="179">
        <v>0.00510702875399359</v>
      </c>
      <c r="G81" s="180">
        <v>0.00823642172523962</v>
      </c>
    </row>
    <row r="82" spans="1:7">
      <c r="A82" s="215" t="s">
        <v>181</v>
      </c>
      <c r="B82" s="216">
        <v>32.3</v>
      </c>
      <c r="C82" s="79">
        <f t="shared" si="1"/>
        <v>31.3</v>
      </c>
      <c r="D82" s="174">
        <v>0.0804489164086685</v>
      </c>
      <c r="E82" s="179"/>
      <c r="F82" s="179">
        <v>0.00804489164086685</v>
      </c>
      <c r="G82" s="180">
        <v>0.0110773993808049</v>
      </c>
    </row>
    <row r="83" spans="1:7">
      <c r="A83" s="215" t="s">
        <v>182</v>
      </c>
      <c r="B83" s="216">
        <v>33.3</v>
      </c>
      <c r="C83" s="79">
        <f t="shared" si="1"/>
        <v>32.3</v>
      </c>
      <c r="D83" s="174">
        <v>0.108063063063063</v>
      </c>
      <c r="E83" s="179">
        <v>0.0108063063063063</v>
      </c>
      <c r="F83" s="179">
        <v>0.0108063063063063</v>
      </c>
      <c r="G83" s="180">
        <v>0.0137477477477477</v>
      </c>
    </row>
    <row r="84" spans="1:7">
      <c r="A84" s="215" t="s">
        <v>183</v>
      </c>
      <c r="B84" s="216">
        <v>34.3</v>
      </c>
      <c r="C84" s="79">
        <f t="shared" si="1"/>
        <v>33.3</v>
      </c>
      <c r="D84" s="174">
        <v>0.134067055393586</v>
      </c>
      <c r="E84" s="179">
        <v>0.0134067055393586</v>
      </c>
      <c r="F84" s="179">
        <v>0.0134067055393586</v>
      </c>
      <c r="G84" s="180">
        <v>0.0162623906705539</v>
      </c>
    </row>
    <row r="85" spans="1:7">
      <c r="A85" s="215" t="s">
        <v>184</v>
      </c>
      <c r="B85" s="216">
        <v>35.3</v>
      </c>
      <c r="C85" s="79">
        <f t="shared" si="1"/>
        <v>34.3</v>
      </c>
      <c r="D85" s="174">
        <v>0.158597733711048</v>
      </c>
      <c r="E85" s="179">
        <v>0.0158597733711048</v>
      </c>
      <c r="F85" s="179">
        <v>0.0158597733711048</v>
      </c>
      <c r="G85" s="180">
        <v>0.0186345609065156</v>
      </c>
    </row>
    <row r="86" spans="1:7">
      <c r="A86" s="215" t="s">
        <v>185</v>
      </c>
      <c r="B86" s="216">
        <v>36.2</v>
      </c>
      <c r="C86" s="79">
        <f t="shared" si="1"/>
        <v>35.3</v>
      </c>
      <c r="D86" s="174">
        <v>0.179516574585635</v>
      </c>
      <c r="E86" s="179">
        <v>0.0179516574585635</v>
      </c>
      <c r="F86" s="179">
        <v>0.0179516574585635</v>
      </c>
      <c r="G86" s="180">
        <v>0.0206574585635359</v>
      </c>
    </row>
    <row r="87" spans="1:7">
      <c r="A87" s="215" t="s">
        <v>186</v>
      </c>
      <c r="B87" s="216">
        <v>37.1</v>
      </c>
      <c r="C87" s="79">
        <f t="shared" si="1"/>
        <v>36.2</v>
      </c>
      <c r="D87" s="174">
        <v>0.199420485175202</v>
      </c>
      <c r="E87" s="179">
        <v>0.0199420485175202</v>
      </c>
      <c r="F87" s="179">
        <v>0.0199420485175202</v>
      </c>
      <c r="G87" s="180">
        <v>0.0225822102425876</v>
      </c>
    </row>
    <row r="88" spans="1:7">
      <c r="A88" s="215" t="s">
        <v>187</v>
      </c>
      <c r="B88" s="216">
        <v>37.9</v>
      </c>
      <c r="C88" s="79">
        <f t="shared" si="1"/>
        <v>37.1</v>
      </c>
      <c r="D88" s="174">
        <v>0.21631926121372</v>
      </c>
      <c r="E88" s="179">
        <v>0.021631926121372</v>
      </c>
      <c r="F88" s="179">
        <v>0.021631926121372</v>
      </c>
      <c r="G88" s="180">
        <v>0.0242163588390501</v>
      </c>
    </row>
    <row r="89" spans="1:7">
      <c r="A89" s="215" t="s">
        <v>188</v>
      </c>
      <c r="B89" s="216">
        <v>38.9</v>
      </c>
      <c r="C89" s="79">
        <f t="shared" si="1"/>
        <v>37.9</v>
      </c>
      <c r="D89" s="174">
        <v>0.23646529562982</v>
      </c>
      <c r="E89" s="179">
        <v>0.023646529562982</v>
      </c>
      <c r="F89" s="179">
        <v>0.023646529562982</v>
      </c>
      <c r="G89" s="180">
        <v>0.0261645244215938</v>
      </c>
    </row>
    <row r="90" spans="1:7">
      <c r="A90" s="215" t="s">
        <v>189</v>
      </c>
      <c r="B90" s="216">
        <v>39.7</v>
      </c>
      <c r="C90" s="79">
        <f t="shared" si="1"/>
        <v>38.9</v>
      </c>
      <c r="D90" s="174">
        <v>0.251851385390428</v>
      </c>
      <c r="E90" s="179">
        <v>0.0251851385390428</v>
      </c>
      <c r="F90" s="179">
        <v>0.0251851385390428</v>
      </c>
      <c r="G90" s="180">
        <v>0.0276523929471033</v>
      </c>
    </row>
    <row r="91" spans="1:7">
      <c r="A91" s="215" t="s">
        <v>190</v>
      </c>
      <c r="B91" s="216">
        <v>40.5</v>
      </c>
      <c r="C91" s="79">
        <f t="shared" si="1"/>
        <v>39.7</v>
      </c>
      <c r="D91" s="174">
        <v>0.266629629629629</v>
      </c>
      <c r="E91" s="179">
        <v>0.0266629629629629</v>
      </c>
      <c r="F91" s="179">
        <v>0.0266629629629629</v>
      </c>
      <c r="G91" s="180">
        <v>0.0290814814814815</v>
      </c>
    </row>
    <row r="92" spans="1:7">
      <c r="A92" s="215" t="s">
        <v>191</v>
      </c>
      <c r="B92" s="216">
        <v>41.4</v>
      </c>
      <c r="C92" s="79">
        <f t="shared" si="1"/>
        <v>40.5</v>
      </c>
      <c r="D92" s="174">
        <v>0.282572463768116</v>
      </c>
      <c r="E92" s="179">
        <v>0.0282572463768116</v>
      </c>
      <c r="F92" s="179">
        <v>0.0282572463768116</v>
      </c>
      <c r="G92" s="180">
        <v>0.0306231884057971</v>
      </c>
    </row>
    <row r="93" spans="1:7">
      <c r="A93" s="215" t="s">
        <v>192</v>
      </c>
      <c r="B93" s="216">
        <v>42.2</v>
      </c>
      <c r="C93" s="79">
        <f t="shared" si="1"/>
        <v>41.4</v>
      </c>
      <c r="D93" s="174">
        <v>0.29617298578199</v>
      </c>
      <c r="E93" s="179">
        <v>0.029617298578199</v>
      </c>
      <c r="F93" s="179">
        <v>0.029617298578199</v>
      </c>
      <c r="G93" s="180">
        <v>0.0319383886255924</v>
      </c>
    </row>
    <row r="94" spans="1:7">
      <c r="A94" s="215" t="s">
        <v>193</v>
      </c>
      <c r="B94" s="216">
        <v>43</v>
      </c>
      <c r="C94" s="79">
        <f t="shared" si="1"/>
        <v>42.2</v>
      </c>
      <c r="D94" s="174">
        <v>0.309267441860465</v>
      </c>
      <c r="E94" s="179">
        <v>0.0309267441860465</v>
      </c>
      <c r="F94" s="179">
        <v>0.0309267441860465</v>
      </c>
      <c r="G94" s="180">
        <v>0.0332046511627907</v>
      </c>
    </row>
    <row r="95" spans="1:7">
      <c r="A95" s="215" t="s">
        <v>194</v>
      </c>
      <c r="B95" s="216">
        <v>44</v>
      </c>
      <c r="C95" s="79">
        <f t="shared" si="1"/>
        <v>43</v>
      </c>
      <c r="D95" s="174">
        <v>0.324965909090909</v>
      </c>
      <c r="E95" s="179">
        <v>0.0324965909090909</v>
      </c>
      <c r="F95" s="179">
        <v>0.0324965909090909</v>
      </c>
      <c r="G95" s="180">
        <v>0.0347227272727273</v>
      </c>
    </row>
    <row r="96" spans="1:7">
      <c r="A96" s="215" t="s">
        <v>195</v>
      </c>
      <c r="B96" s="216">
        <v>45.1</v>
      </c>
      <c r="C96" s="79">
        <f t="shared" si="1"/>
        <v>44</v>
      </c>
      <c r="D96" s="174">
        <v>0.341430155210643</v>
      </c>
      <c r="E96" s="179">
        <v>0.0341430155210643</v>
      </c>
      <c r="F96" s="179">
        <v>0.0341430155210643</v>
      </c>
      <c r="G96" s="180">
        <v>0.0363148558758315</v>
      </c>
    </row>
    <row r="97" spans="1:7">
      <c r="A97" s="215" t="s">
        <v>196</v>
      </c>
      <c r="B97" s="216">
        <v>46.1</v>
      </c>
      <c r="C97" s="79">
        <f t="shared" si="1"/>
        <v>45.1</v>
      </c>
      <c r="D97" s="174">
        <v>0.355715835140998</v>
      </c>
      <c r="E97" s="179">
        <v>0.0355715835140998</v>
      </c>
      <c r="F97" s="179">
        <v>0.0355715835140998</v>
      </c>
      <c r="G97" s="180">
        <v>0.0376963123644252</v>
      </c>
    </row>
    <row r="98" spans="1:7">
      <c r="A98" s="215" t="s">
        <v>197</v>
      </c>
      <c r="B98" s="216">
        <v>47.1</v>
      </c>
      <c r="C98" s="79">
        <f t="shared" si="1"/>
        <v>46.1</v>
      </c>
      <c r="D98" s="174">
        <v>0.369394904458599</v>
      </c>
      <c r="E98" s="179">
        <v>0.0369394904458599</v>
      </c>
      <c r="F98" s="179">
        <v>0.0369394904458599</v>
      </c>
      <c r="G98" s="180">
        <v>0.0390191082802548</v>
      </c>
    </row>
    <row r="99" spans="1:7">
      <c r="A99" s="215" t="s">
        <v>198</v>
      </c>
      <c r="B99" s="216">
        <v>48.1</v>
      </c>
      <c r="C99" s="79">
        <f t="shared" si="1"/>
        <v>47.1</v>
      </c>
      <c r="D99" s="174">
        <v>0.382505197505197</v>
      </c>
      <c r="E99" s="179">
        <v>0.0382505197505197</v>
      </c>
      <c r="F99" s="179">
        <v>0.0382505197505197</v>
      </c>
      <c r="G99" s="180">
        <v>0.0417214137214137</v>
      </c>
    </row>
    <row r="100" spans="1:7">
      <c r="A100" s="215" t="s">
        <v>199</v>
      </c>
      <c r="B100" s="216">
        <v>49.2</v>
      </c>
      <c r="C100" s="79">
        <f t="shared" si="1"/>
        <v>48.1</v>
      </c>
      <c r="D100" s="174">
        <v>0.396310975609756</v>
      </c>
      <c r="E100" s="179">
        <v>0.0396310975609756</v>
      </c>
      <c r="F100" s="179">
        <v>0.0396310975609756</v>
      </c>
      <c r="G100" s="180">
        <v>0.0497317073170732</v>
      </c>
    </row>
    <row r="101" spans="1:7">
      <c r="A101" s="215" t="s">
        <v>200</v>
      </c>
      <c r="B101" s="216">
        <v>50.3</v>
      </c>
      <c r="C101" s="79">
        <f t="shared" si="1"/>
        <v>49.2</v>
      </c>
      <c r="D101" s="174">
        <v>0.409512922465209</v>
      </c>
      <c r="E101" s="179">
        <v>0.0457077534791251</v>
      </c>
      <c r="F101" s="179">
        <v>0.0457077534791251</v>
      </c>
      <c r="G101" s="180">
        <v>0.0573916500994035</v>
      </c>
    </row>
    <row r="102" spans="1:7">
      <c r="A102" s="215" t="s">
        <v>201</v>
      </c>
      <c r="B102" s="216">
        <v>51.6</v>
      </c>
      <c r="C102" s="79">
        <f t="shared" si="1"/>
        <v>50.3</v>
      </c>
      <c r="D102" s="174">
        <v>0.424389534883721</v>
      </c>
      <c r="E102" s="179">
        <v>0.0546337209302325</v>
      </c>
      <c r="F102" s="179">
        <v>0.0546337209302325</v>
      </c>
      <c r="G102" s="180">
        <v>0.0660232558139535</v>
      </c>
    </row>
    <row r="103" spans="1:7">
      <c r="A103" s="215" t="s">
        <v>202</v>
      </c>
      <c r="B103" s="216">
        <v>52.8</v>
      </c>
      <c r="C103" s="79">
        <f t="shared" si="1"/>
        <v>51.6</v>
      </c>
      <c r="D103" s="174">
        <v>0.437471590909091</v>
      </c>
      <c r="E103" s="179">
        <v>0.0624829545454545</v>
      </c>
      <c r="F103" s="179">
        <v>0.0624829545454545</v>
      </c>
      <c r="G103" s="180">
        <v>0.0736136363636363</v>
      </c>
    </row>
    <row r="104" spans="1:7">
      <c r="A104" s="215" t="s">
        <v>203</v>
      </c>
      <c r="B104" s="216">
        <v>54</v>
      </c>
      <c r="C104" s="79">
        <f t="shared" si="1"/>
        <v>52.8</v>
      </c>
      <c r="D104" s="174">
        <v>0.449972222222222</v>
      </c>
      <c r="E104" s="179">
        <v>0.0699833333333333</v>
      </c>
      <c r="F104" s="179">
        <v>0.0699833333333333</v>
      </c>
      <c r="G104" s="180">
        <v>0.0808666666666666</v>
      </c>
    </row>
    <row r="105" spans="1:7">
      <c r="A105" s="215" t="s">
        <v>204</v>
      </c>
      <c r="B105" s="216">
        <v>55.2</v>
      </c>
      <c r="C105" s="79">
        <f t="shared" si="1"/>
        <v>54</v>
      </c>
      <c r="D105" s="174">
        <v>0.461929347826087</v>
      </c>
      <c r="E105" s="179">
        <v>0.0771576086956521</v>
      </c>
      <c r="F105" s="179">
        <v>0.0771576086956521</v>
      </c>
      <c r="G105" s="180">
        <v>0.087804347826087</v>
      </c>
    </row>
    <row r="106" spans="1:7">
      <c r="A106" s="215" t="s">
        <v>205</v>
      </c>
      <c r="B106" s="216">
        <v>56.4</v>
      </c>
      <c r="C106" s="79">
        <f t="shared" si="1"/>
        <v>55.2</v>
      </c>
      <c r="D106" s="174">
        <v>0.473377659574468</v>
      </c>
      <c r="E106" s="179">
        <v>0.0840265957446808</v>
      </c>
      <c r="F106" s="179">
        <v>0.0840265957446808</v>
      </c>
      <c r="G106" s="180">
        <v>0.0944468085106383</v>
      </c>
    </row>
    <row r="107" spans="1:7">
      <c r="A107" s="215" t="s">
        <v>206</v>
      </c>
      <c r="B107" s="216">
        <v>57.9</v>
      </c>
      <c r="C107" s="79">
        <f t="shared" si="1"/>
        <v>56.4</v>
      </c>
      <c r="D107" s="174">
        <v>0.487020725388601</v>
      </c>
      <c r="E107" s="179">
        <v>0.0922124352331605</v>
      </c>
      <c r="F107" s="179">
        <v>0.0922124352331605</v>
      </c>
      <c r="G107" s="180">
        <v>0.102362694300518</v>
      </c>
    </row>
    <row r="108" spans="1:7">
      <c r="A108" s="215" t="s">
        <v>207</v>
      </c>
      <c r="B108" s="216">
        <v>59.6</v>
      </c>
      <c r="C108" s="79">
        <f t="shared" si="1"/>
        <v>57.9</v>
      </c>
      <c r="D108" s="174">
        <v>0.501652684563758</v>
      </c>
      <c r="E108" s="179">
        <v>0.100991610738255</v>
      </c>
      <c r="F108" s="179">
        <v>0.100991610738255</v>
      </c>
      <c r="G108" s="180">
        <v>0.110852348993289</v>
      </c>
    </row>
    <row r="109" spans="1:7">
      <c r="A109" s="215" t="s">
        <v>208</v>
      </c>
      <c r="B109" s="216">
        <v>61.4</v>
      </c>
      <c r="C109" s="79">
        <f t="shared" si="1"/>
        <v>59.6</v>
      </c>
      <c r="D109" s="174">
        <v>0.516262214983713</v>
      </c>
      <c r="E109" s="179">
        <v>0.109757328990228</v>
      </c>
      <c r="F109" s="179">
        <v>0.109757328990228</v>
      </c>
      <c r="G109" s="180">
        <v>0.119328990228013</v>
      </c>
    </row>
    <row r="110" spans="1:7">
      <c r="A110" s="215" t="s">
        <v>209</v>
      </c>
      <c r="B110" s="216">
        <v>63.4</v>
      </c>
      <c r="C110" s="79">
        <f t="shared" si="1"/>
        <v>61.4</v>
      </c>
      <c r="D110" s="174">
        <v>0.531522082018927</v>
      </c>
      <c r="E110" s="179">
        <v>0.118913249211356</v>
      </c>
      <c r="F110" s="179">
        <v>0.118913249211356</v>
      </c>
      <c r="G110" s="180">
        <v>0.128182965299685</v>
      </c>
    </row>
    <row r="111" spans="1:7">
      <c r="A111" s="215" t="s">
        <v>210</v>
      </c>
      <c r="B111" s="216">
        <v>65.8</v>
      </c>
      <c r="C111" s="79">
        <f t="shared" si="1"/>
        <v>63.4</v>
      </c>
      <c r="D111" s="174">
        <v>0.548609422492401</v>
      </c>
      <c r="E111" s="179">
        <v>0.129165653495441</v>
      </c>
      <c r="F111" s="179">
        <v>0.129165653495441</v>
      </c>
      <c r="G111" s="180">
        <v>0.13809726443769</v>
      </c>
    </row>
    <row r="112" spans="1:7">
      <c r="A112" s="215" t="s">
        <v>211</v>
      </c>
      <c r="B112" s="216">
        <v>68.3</v>
      </c>
      <c r="C112" s="79">
        <f t="shared" si="1"/>
        <v>65.8</v>
      </c>
      <c r="D112" s="174">
        <v>0.5651317715959</v>
      </c>
      <c r="E112" s="179">
        <v>0.13907906295754</v>
      </c>
      <c r="F112" s="179">
        <v>0.13907906295754</v>
      </c>
      <c r="G112" s="180">
        <v>0.147683748169839</v>
      </c>
    </row>
    <row r="113" spans="1:7">
      <c r="A113" s="215" t="s">
        <v>212</v>
      </c>
      <c r="B113" s="216">
        <v>71.2</v>
      </c>
      <c r="C113" s="79">
        <f t="shared" si="1"/>
        <v>68.3</v>
      </c>
      <c r="D113" s="174">
        <v>0.582844101123595</v>
      </c>
      <c r="E113" s="179">
        <v>0.149706460674157</v>
      </c>
      <c r="F113" s="179">
        <v>0.149706460674157</v>
      </c>
      <c r="G113" s="180">
        <v>0.157960674157303</v>
      </c>
    </row>
    <row r="114" spans="1:7">
      <c r="A114" s="215" t="s">
        <v>213</v>
      </c>
      <c r="B114" s="216">
        <v>74.1</v>
      </c>
      <c r="C114" s="79">
        <f t="shared" si="1"/>
        <v>71.2</v>
      </c>
      <c r="D114" s="174">
        <v>0.59917004048583</v>
      </c>
      <c r="E114" s="179">
        <v>0.159502024291498</v>
      </c>
      <c r="F114" s="179">
        <v>0.159502024291498</v>
      </c>
      <c r="G114" s="180">
        <v>0.167433198380567</v>
      </c>
    </row>
    <row r="115" spans="1:7">
      <c r="A115" s="215" t="s">
        <v>214</v>
      </c>
      <c r="B115" s="216">
        <v>78</v>
      </c>
      <c r="C115" s="79">
        <f t="shared" si="1"/>
        <v>74.1</v>
      </c>
      <c r="D115" s="174">
        <v>0.619211538461538</v>
      </c>
      <c r="E115" s="179">
        <v>0.171526923076923</v>
      </c>
      <c r="F115" s="179">
        <v>0.171526923076923</v>
      </c>
      <c r="G115" s="180">
        <v>0.179061538461538</v>
      </c>
    </row>
    <row r="116" spans="1:7">
      <c r="A116" s="215" t="s">
        <v>215</v>
      </c>
      <c r="B116" s="216">
        <v>82.1</v>
      </c>
      <c r="C116" s="79">
        <f t="shared" si="1"/>
        <v>78</v>
      </c>
      <c r="D116" s="174">
        <v>0.638227771010962</v>
      </c>
      <c r="E116" s="179">
        <v>0.182936662606577</v>
      </c>
      <c r="F116" s="179">
        <v>0.182936662606577</v>
      </c>
      <c r="G116" s="180">
        <v>0.190095006090134</v>
      </c>
    </row>
    <row r="117" spans="1:7">
      <c r="A117" s="215" t="s">
        <v>216</v>
      </c>
      <c r="B117" s="216">
        <v>87.4</v>
      </c>
      <c r="C117" s="79">
        <f t="shared" si="1"/>
        <v>82.1</v>
      </c>
      <c r="D117" s="174">
        <v>0.66016590389016</v>
      </c>
      <c r="E117" s="179">
        <v>0.196099542334096</v>
      </c>
      <c r="F117" s="179">
        <v>0.196099542334096</v>
      </c>
      <c r="G117" s="180">
        <v>0.202823798627002</v>
      </c>
    </row>
    <row r="118" spans="1:7">
      <c r="A118" s="215" t="s">
        <v>217</v>
      </c>
      <c r="B118" s="216">
        <v>94.1</v>
      </c>
      <c r="C118" s="79">
        <f t="shared" si="1"/>
        <v>87.4</v>
      </c>
      <c r="D118" s="174">
        <v>0.684362380446334</v>
      </c>
      <c r="E118" s="179">
        <v>0.2106174282678</v>
      </c>
      <c r="F118" s="179">
        <v>0.2106174282678</v>
      </c>
      <c r="G118" s="180">
        <v>0.216862911795962</v>
      </c>
    </row>
    <row r="119" spans="1:7">
      <c r="A119" s="215" t="s">
        <v>218</v>
      </c>
      <c r="B119" s="216">
        <v>103.4</v>
      </c>
      <c r="C119" s="79">
        <f t="shared" si="1"/>
        <v>94.1</v>
      </c>
      <c r="D119" s="174">
        <v>0.712751450676983</v>
      </c>
      <c r="E119" s="179">
        <v>0.22765087040619</v>
      </c>
      <c r="F119" s="179">
        <v>0.22765087040619</v>
      </c>
      <c r="G119" s="180">
        <v>0.233334622823985</v>
      </c>
    </row>
    <row r="120" spans="1:7">
      <c r="A120" s="215" t="s">
        <v>219</v>
      </c>
      <c r="B120" s="216">
        <v>116.9</v>
      </c>
      <c r="C120" s="79">
        <f t="shared" si="1"/>
        <v>103.4</v>
      </c>
      <c r="D120" s="174">
        <v>0.745923866552609</v>
      </c>
      <c r="E120" s="179">
        <v>0.247554319931565</v>
      </c>
      <c r="F120" s="179">
        <v>0.247554319931565</v>
      </c>
      <c r="G120" s="180">
        <v>0.252581693755346</v>
      </c>
    </row>
    <row r="121" spans="1:7">
      <c r="A121" s="215" t="s">
        <v>220</v>
      </c>
      <c r="B121" s="216">
        <v>147.3</v>
      </c>
      <c r="C121" s="79">
        <f t="shared" si="1"/>
        <v>116.9</v>
      </c>
      <c r="D121" s="174">
        <v>0.798360488798371</v>
      </c>
      <c r="E121" s="179">
        <v>0.279016293279022</v>
      </c>
      <c r="F121" s="179">
        <v>0.279016293279022</v>
      </c>
      <c r="G121" s="180">
        <v>0.283006109979633</v>
      </c>
    </row>
    <row r="122" spans="1:7">
      <c r="A122" s="215" t="s">
        <v>221</v>
      </c>
      <c r="B122" s="216">
        <v>299.2</v>
      </c>
      <c r="C122" s="79">
        <f t="shared" si="1"/>
        <v>147.3</v>
      </c>
      <c r="D122" s="174">
        <v>0.900730280748663</v>
      </c>
      <c r="E122" s="179">
        <v>0.340438168449198</v>
      </c>
      <c r="F122" s="179">
        <v>0.340438168449198</v>
      </c>
      <c r="G122" s="180">
        <v>0.342402406417112</v>
      </c>
    </row>
    <row r="123" ht="15.75" spans="1:7">
      <c r="A123" s="217" t="s">
        <v>221</v>
      </c>
      <c r="B123" s="218" t="s">
        <v>411</v>
      </c>
      <c r="C123" s="79">
        <f t="shared" si="1"/>
        <v>299.2</v>
      </c>
      <c r="D123" s="174"/>
      <c r="E123" s="184"/>
      <c r="F123" s="184"/>
      <c r="G123" s="185"/>
    </row>
    <row r="124" ht="15.75" spans="1:7">
      <c r="A124" s="186"/>
      <c r="B124" s="219"/>
      <c r="C124" s="78"/>
      <c r="D124" s="220"/>
      <c r="E124" s="221">
        <v>0.0749042760762596</v>
      </c>
      <c r="F124" s="221">
        <v>0.0749042760762596</v>
      </c>
      <c r="G124" s="222">
        <v>0.0798469308848714</v>
      </c>
    </row>
    <row r="125" ht="51" spans="1:7">
      <c r="A125" s="191" t="s">
        <v>233</v>
      </c>
      <c r="B125" s="223">
        <v>34.2</v>
      </c>
      <c r="C125" s="78"/>
      <c r="D125" s="193"/>
      <c r="E125" s="194">
        <v>49.5025</v>
      </c>
      <c r="F125" s="195">
        <v>49.5025</v>
      </c>
      <c r="G125" s="196">
        <v>47.87</v>
      </c>
    </row>
    <row r="126" ht="52.5" customHeight="1" spans="1:7">
      <c r="A126" s="197" t="s">
        <v>224</v>
      </c>
      <c r="B126" s="224">
        <v>56.7</v>
      </c>
      <c r="C126" s="78"/>
      <c r="D126" s="199"/>
      <c r="E126" s="200"/>
      <c r="F126" s="200"/>
      <c r="G126" s="201"/>
    </row>
    <row r="127" ht="78" customHeight="1" spans="1:7">
      <c r="A127" s="202" t="s">
        <v>225</v>
      </c>
      <c r="B127" s="225">
        <v>20.5</v>
      </c>
      <c r="C127" s="78"/>
      <c r="D127" s="184"/>
      <c r="E127" s="183">
        <v>29.7015</v>
      </c>
      <c r="F127" s="183">
        <v>29.7015</v>
      </c>
      <c r="G127" s="204">
        <v>28.722</v>
      </c>
    </row>
    <row r="128" ht="15.75"/>
    <row r="129" ht="51.75" spans="1:2">
      <c r="A129" s="205" t="s">
        <v>224</v>
      </c>
      <c r="B129" s="166">
        <f>B126</f>
        <v>56.7</v>
      </c>
    </row>
    <row r="130" spans="1:3">
      <c r="A130" s="542" t="s">
        <v>226</v>
      </c>
      <c r="B130" s="207">
        <f>AVERAGE(B78:B117)</f>
        <v>49.5025</v>
      </c>
      <c r="C130" s="95"/>
    </row>
    <row r="131" spans="1:3">
      <c r="A131" s="543" t="s">
        <v>227</v>
      </c>
      <c r="B131" s="209">
        <f>AVERAGE(B83:B112)</f>
        <v>47.87</v>
      </c>
      <c r="C131" s="96"/>
    </row>
    <row r="132" ht="15.75" spans="1:3">
      <c r="A132" s="544" t="s">
        <v>228</v>
      </c>
      <c r="B132" s="211">
        <f>AVERAGE(B89:B107)</f>
        <v>47.5526315789474</v>
      </c>
      <c r="C132" s="96"/>
    </row>
    <row r="133" ht="15.75"/>
    <row r="134" ht="15.75" spans="1:7">
      <c r="A134" s="155" t="s">
        <v>165</v>
      </c>
      <c r="B134" s="156" t="s">
        <v>347</v>
      </c>
      <c r="C134" s="157"/>
      <c r="D134" s="158"/>
      <c r="E134" s="159">
        <f>(1-E189)^(1/3)-1</f>
        <v>-0.0299750927993748</v>
      </c>
      <c r="F134" s="160">
        <f>(1-F189)^(1/3)-1</f>
        <v>-0.0299750927993748</v>
      </c>
      <c r="G134" s="161"/>
    </row>
    <row r="135" ht="77.25" spans="1:7">
      <c r="A135" s="162"/>
      <c r="B135" s="130" t="s">
        <v>167</v>
      </c>
      <c r="C135" s="107"/>
      <c r="D135" s="130" t="s">
        <v>168</v>
      </c>
      <c r="E135" s="130" t="s">
        <v>169</v>
      </c>
      <c r="F135" s="130" t="s">
        <v>169</v>
      </c>
      <c r="G135" s="130"/>
    </row>
    <row r="136" ht="26.25" spans="1:7">
      <c r="A136" s="163"/>
      <c r="B136" s="164" t="s">
        <v>235</v>
      </c>
      <c r="C136" s="107"/>
      <c r="D136" s="164" t="s">
        <v>171</v>
      </c>
      <c r="E136" s="538" t="s">
        <v>401</v>
      </c>
      <c r="F136" s="539" t="s">
        <v>402</v>
      </c>
      <c r="G136" s="166"/>
    </row>
    <row r="137" ht="15.75" spans="1:7">
      <c r="A137" s="167">
        <v>1</v>
      </c>
      <c r="B137" s="168">
        <v>2</v>
      </c>
      <c r="C137" s="76"/>
      <c r="D137" s="169">
        <v>3</v>
      </c>
      <c r="E137" s="170">
        <v>4</v>
      </c>
      <c r="F137" s="171">
        <v>5</v>
      </c>
      <c r="G137" s="170"/>
    </row>
    <row r="138" spans="1:7">
      <c r="A138" s="540" t="s">
        <v>172</v>
      </c>
      <c r="B138" s="226">
        <v>0.55</v>
      </c>
      <c r="C138" s="112">
        <v>0</v>
      </c>
      <c r="D138" s="174">
        <v>0</v>
      </c>
      <c r="E138" s="175">
        <v>0</v>
      </c>
      <c r="F138" s="175">
        <v>0</v>
      </c>
      <c r="G138" s="176">
        <v>0</v>
      </c>
    </row>
    <row r="139" spans="1:7">
      <c r="A139" s="541" t="s">
        <v>173</v>
      </c>
      <c r="B139" s="227">
        <v>0.64</v>
      </c>
      <c r="C139" s="79">
        <f>B138</f>
        <v>0.55</v>
      </c>
      <c r="D139" s="174">
        <v>0</v>
      </c>
      <c r="E139" s="179">
        <v>0</v>
      </c>
      <c r="F139" s="179">
        <v>0</v>
      </c>
      <c r="G139" s="180">
        <v>0</v>
      </c>
    </row>
    <row r="140" spans="1:7">
      <c r="A140" s="541" t="s">
        <v>174</v>
      </c>
      <c r="B140" s="227">
        <v>0.71</v>
      </c>
      <c r="C140" s="79">
        <f t="shared" ref="C140:C188" si="2">B139</f>
        <v>0.64</v>
      </c>
      <c r="D140" s="174">
        <v>0</v>
      </c>
      <c r="E140" s="179">
        <v>0</v>
      </c>
      <c r="F140" s="179">
        <v>0</v>
      </c>
      <c r="G140" s="180">
        <v>0</v>
      </c>
    </row>
    <row r="141" spans="1:7">
      <c r="A141" s="541" t="s">
        <v>175</v>
      </c>
      <c r="B141" s="227">
        <v>0.77</v>
      </c>
      <c r="C141" s="79">
        <f t="shared" si="2"/>
        <v>0.71</v>
      </c>
      <c r="D141" s="174">
        <v>0</v>
      </c>
      <c r="E141" s="179">
        <v>0</v>
      </c>
      <c r="F141" s="179">
        <v>0</v>
      </c>
      <c r="G141" s="180">
        <v>0</v>
      </c>
    </row>
    <row r="142" spans="1:7">
      <c r="A142" s="541" t="s">
        <v>176</v>
      </c>
      <c r="B142" s="227">
        <v>0.83</v>
      </c>
      <c r="C142" s="79">
        <f t="shared" si="2"/>
        <v>0.77</v>
      </c>
      <c r="D142" s="174">
        <v>0</v>
      </c>
      <c r="E142" s="179">
        <v>0</v>
      </c>
      <c r="F142" s="179">
        <v>0</v>
      </c>
      <c r="G142" s="180">
        <v>0</v>
      </c>
    </row>
    <row r="143" spans="1:7">
      <c r="A143" s="541" t="s">
        <v>177</v>
      </c>
      <c r="B143" s="227">
        <v>0.9</v>
      </c>
      <c r="C143" s="79">
        <f t="shared" si="2"/>
        <v>0.83</v>
      </c>
      <c r="D143" s="174">
        <v>0</v>
      </c>
      <c r="E143" s="179">
        <v>0</v>
      </c>
      <c r="F143" s="179">
        <v>0</v>
      </c>
      <c r="G143" s="180">
        <v>0</v>
      </c>
    </row>
    <row r="144" spans="1:7">
      <c r="A144" s="541" t="s">
        <v>178</v>
      </c>
      <c r="B144" s="227">
        <v>0.95</v>
      </c>
      <c r="C144" s="79">
        <f t="shared" si="2"/>
        <v>0.9</v>
      </c>
      <c r="D144" s="174">
        <v>0</v>
      </c>
      <c r="E144" s="179">
        <v>0</v>
      </c>
      <c r="F144" s="179">
        <v>0</v>
      </c>
      <c r="G144" s="180">
        <v>0</v>
      </c>
    </row>
    <row r="145" spans="1:7">
      <c r="A145" s="177" t="s">
        <v>179</v>
      </c>
      <c r="B145" s="227">
        <v>1.02</v>
      </c>
      <c r="C145" s="79">
        <f t="shared" si="2"/>
        <v>0.95</v>
      </c>
      <c r="D145" s="174">
        <v>0</v>
      </c>
      <c r="E145" s="179">
        <v>0</v>
      </c>
      <c r="F145" s="179">
        <v>0</v>
      </c>
      <c r="G145" s="180">
        <v>0</v>
      </c>
    </row>
    <row r="146" spans="1:7">
      <c r="A146" s="177" t="s">
        <v>180</v>
      </c>
      <c r="B146" s="227">
        <v>1.09</v>
      </c>
      <c r="C146" s="79">
        <f t="shared" si="2"/>
        <v>1.02</v>
      </c>
      <c r="D146" s="174">
        <v>0</v>
      </c>
      <c r="E146" s="179">
        <v>0</v>
      </c>
      <c r="F146" s="179">
        <v>0</v>
      </c>
      <c r="G146" s="180">
        <v>0</v>
      </c>
    </row>
    <row r="147" spans="1:7">
      <c r="A147" s="177" t="s">
        <v>181</v>
      </c>
      <c r="B147" s="227">
        <v>1.16</v>
      </c>
      <c r="C147" s="79">
        <f t="shared" si="2"/>
        <v>1.09</v>
      </c>
      <c r="D147" s="174">
        <v>0</v>
      </c>
      <c r="E147" s="179">
        <v>0</v>
      </c>
      <c r="F147" s="179">
        <v>0</v>
      </c>
      <c r="G147" s="180">
        <v>0</v>
      </c>
    </row>
    <row r="148" spans="1:7">
      <c r="A148" s="177" t="s">
        <v>182</v>
      </c>
      <c r="B148" s="227">
        <v>1.22</v>
      </c>
      <c r="C148" s="79">
        <f t="shared" si="2"/>
        <v>1.16</v>
      </c>
      <c r="D148" s="174">
        <v>0</v>
      </c>
      <c r="E148" s="179">
        <v>0</v>
      </c>
      <c r="F148" s="179">
        <v>0</v>
      </c>
      <c r="G148" s="180">
        <v>0</v>
      </c>
    </row>
    <row r="149" spans="1:7">
      <c r="A149" s="177" t="s">
        <v>183</v>
      </c>
      <c r="B149" s="227">
        <v>1.28</v>
      </c>
      <c r="C149" s="79">
        <f t="shared" si="2"/>
        <v>1.22</v>
      </c>
      <c r="D149" s="174">
        <v>0</v>
      </c>
      <c r="E149" s="179">
        <v>0</v>
      </c>
      <c r="F149" s="179">
        <v>0</v>
      </c>
      <c r="G149" s="180">
        <v>0</v>
      </c>
    </row>
    <row r="150" spans="1:7">
      <c r="A150" s="177" t="s">
        <v>184</v>
      </c>
      <c r="B150" s="227">
        <v>1.33</v>
      </c>
      <c r="C150" s="79">
        <f t="shared" si="2"/>
        <v>1.28</v>
      </c>
      <c r="D150" s="174">
        <v>0</v>
      </c>
      <c r="E150" s="179">
        <v>0</v>
      </c>
      <c r="F150" s="179">
        <v>0</v>
      </c>
      <c r="G150" s="180">
        <v>0</v>
      </c>
    </row>
    <row r="151" spans="1:7">
      <c r="A151" s="177" t="s">
        <v>185</v>
      </c>
      <c r="B151" s="227">
        <v>1.41</v>
      </c>
      <c r="C151" s="79">
        <f t="shared" si="2"/>
        <v>1.33</v>
      </c>
      <c r="D151" s="174">
        <v>0</v>
      </c>
      <c r="E151" s="179">
        <v>0</v>
      </c>
      <c r="F151" s="179">
        <v>0</v>
      </c>
      <c r="G151" s="180">
        <v>0</v>
      </c>
    </row>
    <row r="152" spans="1:7">
      <c r="A152" s="177" t="s">
        <v>186</v>
      </c>
      <c r="B152" s="227">
        <v>1.47</v>
      </c>
      <c r="C152" s="79">
        <f t="shared" si="2"/>
        <v>1.41</v>
      </c>
      <c r="D152" s="174">
        <v>0</v>
      </c>
      <c r="E152" s="179">
        <v>0</v>
      </c>
      <c r="F152" s="179">
        <v>0</v>
      </c>
      <c r="G152" s="180">
        <v>0</v>
      </c>
    </row>
    <row r="153" spans="1:7">
      <c r="A153" s="177" t="s">
        <v>187</v>
      </c>
      <c r="B153" s="227">
        <v>1.55</v>
      </c>
      <c r="C153" s="79">
        <f t="shared" si="2"/>
        <v>1.47</v>
      </c>
      <c r="D153" s="174">
        <v>0</v>
      </c>
      <c r="E153" s="179">
        <v>0</v>
      </c>
      <c r="F153" s="179">
        <v>0</v>
      </c>
      <c r="G153" s="180">
        <v>0</v>
      </c>
    </row>
    <row r="154" spans="1:7">
      <c r="A154" s="177" t="s">
        <v>188</v>
      </c>
      <c r="B154" s="227">
        <v>1.65</v>
      </c>
      <c r="C154" s="79">
        <f t="shared" si="2"/>
        <v>1.55</v>
      </c>
      <c r="D154" s="174">
        <v>0</v>
      </c>
      <c r="E154" s="179">
        <v>0</v>
      </c>
      <c r="F154" s="179">
        <v>0</v>
      </c>
      <c r="G154" s="180">
        <v>0</v>
      </c>
    </row>
    <row r="155" spans="1:7">
      <c r="A155" s="177" t="s">
        <v>189</v>
      </c>
      <c r="B155" s="227">
        <v>1.73</v>
      </c>
      <c r="C155" s="79">
        <f t="shared" si="2"/>
        <v>1.65</v>
      </c>
      <c r="D155" s="174">
        <v>0</v>
      </c>
      <c r="E155" s="179">
        <v>0</v>
      </c>
      <c r="F155" s="179">
        <v>0</v>
      </c>
      <c r="G155" s="180">
        <v>0</v>
      </c>
    </row>
    <row r="156" spans="1:7">
      <c r="A156" s="177" t="s">
        <v>190</v>
      </c>
      <c r="B156" s="227">
        <v>1.83</v>
      </c>
      <c r="C156" s="79">
        <f t="shared" si="2"/>
        <v>1.73</v>
      </c>
      <c r="D156" s="174">
        <v>0</v>
      </c>
      <c r="E156" s="179">
        <v>0</v>
      </c>
      <c r="F156" s="179">
        <v>0</v>
      </c>
      <c r="G156" s="180">
        <v>0</v>
      </c>
    </row>
    <row r="157" spans="1:7">
      <c r="A157" s="177" t="s">
        <v>191</v>
      </c>
      <c r="B157" s="227">
        <v>1.93</v>
      </c>
      <c r="C157" s="79">
        <f t="shared" si="2"/>
        <v>1.83</v>
      </c>
      <c r="D157" s="174">
        <v>0</v>
      </c>
      <c r="E157" s="179">
        <v>0</v>
      </c>
      <c r="F157" s="179">
        <v>0</v>
      </c>
      <c r="G157" s="180">
        <v>0.00378238341968912</v>
      </c>
    </row>
    <row r="158" spans="1:7">
      <c r="A158" s="177" t="s">
        <v>192</v>
      </c>
      <c r="B158" s="227">
        <v>2.02</v>
      </c>
      <c r="C158" s="79">
        <f t="shared" si="2"/>
        <v>1.93</v>
      </c>
      <c r="D158" s="174">
        <v>0</v>
      </c>
      <c r="E158" s="179">
        <v>0</v>
      </c>
      <c r="F158" s="179">
        <v>0</v>
      </c>
      <c r="G158" s="180">
        <v>0.00806930693069307</v>
      </c>
    </row>
    <row r="159" spans="1:7">
      <c r="A159" s="177" t="s">
        <v>193</v>
      </c>
      <c r="B159" s="227">
        <v>2.12</v>
      </c>
      <c r="C159" s="79">
        <f t="shared" si="2"/>
        <v>2.02</v>
      </c>
      <c r="D159" s="174">
        <v>0</v>
      </c>
      <c r="E159" s="179">
        <v>0</v>
      </c>
      <c r="F159" s="179">
        <v>0</v>
      </c>
      <c r="G159" s="180">
        <v>0.0124056603773585</v>
      </c>
    </row>
    <row r="160" spans="1:7">
      <c r="A160" s="177" t="s">
        <v>194</v>
      </c>
      <c r="B160" s="227">
        <v>2.23</v>
      </c>
      <c r="C160" s="79">
        <f t="shared" si="2"/>
        <v>2.12</v>
      </c>
      <c r="D160" s="174">
        <v>0</v>
      </c>
      <c r="E160" s="179">
        <v>0</v>
      </c>
      <c r="F160" s="179">
        <v>0</v>
      </c>
      <c r="G160" s="180">
        <v>0.0167264573991031</v>
      </c>
    </row>
    <row r="161" spans="1:7">
      <c r="A161" s="177" t="s">
        <v>195</v>
      </c>
      <c r="B161" s="227">
        <v>2.31</v>
      </c>
      <c r="C161" s="79">
        <f t="shared" si="2"/>
        <v>2.23</v>
      </c>
      <c r="D161" s="174">
        <v>0</v>
      </c>
      <c r="E161" s="179">
        <v>0</v>
      </c>
      <c r="F161" s="179">
        <v>0</v>
      </c>
      <c r="G161" s="180">
        <v>0.0196103896103896</v>
      </c>
    </row>
    <row r="162" spans="1:7">
      <c r="A162" s="177" t="s">
        <v>196</v>
      </c>
      <c r="B162" s="227">
        <v>2.43</v>
      </c>
      <c r="C162" s="79">
        <f t="shared" si="2"/>
        <v>2.31</v>
      </c>
      <c r="D162" s="174">
        <v>0.0460493827160495</v>
      </c>
      <c r="E162" s="179"/>
      <c r="F162" s="179">
        <v>0.00460493827160495</v>
      </c>
      <c r="G162" s="180">
        <v>0.0235802469135803</v>
      </c>
    </row>
    <row r="163" spans="1:7">
      <c r="A163" s="177" t="s">
        <v>197</v>
      </c>
      <c r="B163" s="227">
        <v>2.57</v>
      </c>
      <c r="C163" s="79">
        <f t="shared" si="2"/>
        <v>2.43</v>
      </c>
      <c r="D163" s="174">
        <v>0.0980155642023346</v>
      </c>
      <c r="E163" s="179">
        <v>0.00980155642023347</v>
      </c>
      <c r="F163" s="179">
        <v>0.00980155642023347</v>
      </c>
      <c r="G163" s="180">
        <v>0.0277431906614786</v>
      </c>
    </row>
    <row r="164" spans="1:7">
      <c r="A164" s="177" t="s">
        <v>198</v>
      </c>
      <c r="B164" s="227">
        <v>2.73</v>
      </c>
      <c r="C164" s="79">
        <f t="shared" si="2"/>
        <v>2.57</v>
      </c>
      <c r="D164" s="174">
        <v>0.150879120879121</v>
      </c>
      <c r="E164" s="179">
        <v>0.0150879120879121</v>
      </c>
      <c r="F164" s="179">
        <v>0.0150879120879121</v>
      </c>
      <c r="G164" s="180">
        <v>0.031978021978022</v>
      </c>
    </row>
    <row r="165" spans="1:7">
      <c r="A165" s="177" t="s">
        <v>199</v>
      </c>
      <c r="B165" s="227">
        <v>2.89</v>
      </c>
      <c r="C165" s="79">
        <f t="shared" si="2"/>
        <v>2.73</v>
      </c>
      <c r="D165" s="174">
        <v>0.197889273356401</v>
      </c>
      <c r="E165" s="179">
        <v>0.0197889273356401</v>
      </c>
      <c r="F165" s="179">
        <v>0.0197889273356401</v>
      </c>
      <c r="G165" s="180">
        <v>0.0357439446366782</v>
      </c>
    </row>
    <row r="166" spans="1:7">
      <c r="A166" s="177" t="s">
        <v>200</v>
      </c>
      <c r="B166" s="227">
        <v>3.06</v>
      </c>
      <c r="C166" s="79">
        <f t="shared" si="2"/>
        <v>2.89</v>
      </c>
      <c r="D166" s="174">
        <v>0.242450980392157</v>
      </c>
      <c r="E166" s="179">
        <v>0.0242450980392157</v>
      </c>
      <c r="F166" s="179">
        <v>0.0242450980392157</v>
      </c>
      <c r="G166" s="180">
        <v>0.0393137254901961</v>
      </c>
    </row>
    <row r="167" spans="1:7">
      <c r="A167" s="177" t="s">
        <v>201</v>
      </c>
      <c r="B167" s="227">
        <v>3.26</v>
      </c>
      <c r="C167" s="79">
        <f t="shared" si="2"/>
        <v>3.06</v>
      </c>
      <c r="D167" s="174">
        <v>0.288926380368098</v>
      </c>
      <c r="E167" s="179">
        <v>0.0288926380368098</v>
      </c>
      <c r="F167" s="179">
        <v>0.0288926380368098</v>
      </c>
      <c r="G167" s="180">
        <v>0.0582208588957055</v>
      </c>
    </row>
    <row r="168" spans="1:7">
      <c r="A168" s="177" t="s">
        <v>202</v>
      </c>
      <c r="B168" s="227">
        <v>3.46</v>
      </c>
      <c r="C168" s="79">
        <f t="shared" si="2"/>
        <v>3.26</v>
      </c>
      <c r="D168" s="174">
        <v>0.330028901734104</v>
      </c>
      <c r="E168" s="179">
        <v>0.0330028901734104</v>
      </c>
      <c r="F168" s="179">
        <v>0.0330028901734104</v>
      </c>
      <c r="G168" s="180">
        <v>0.0779768786127167</v>
      </c>
    </row>
    <row r="169" spans="1:7">
      <c r="A169" s="177" t="s">
        <v>203</v>
      </c>
      <c r="B169" s="227">
        <v>3.73</v>
      </c>
      <c r="C169" s="79">
        <f t="shared" si="2"/>
        <v>3.46</v>
      </c>
      <c r="D169" s="174">
        <v>0.378525469168901</v>
      </c>
      <c r="E169" s="179">
        <v>0.0378525469168901</v>
      </c>
      <c r="F169" s="179">
        <v>0.0378525469168901</v>
      </c>
      <c r="G169" s="180">
        <v>0.101286863270777</v>
      </c>
    </row>
    <row r="170" spans="1:7">
      <c r="A170" s="177" t="s">
        <v>204</v>
      </c>
      <c r="B170" s="227">
        <v>4.06</v>
      </c>
      <c r="C170" s="79">
        <f t="shared" si="2"/>
        <v>3.73</v>
      </c>
      <c r="D170" s="174">
        <v>0.429039408866995</v>
      </c>
      <c r="E170" s="179">
        <v>0.057423645320197</v>
      </c>
      <c r="F170" s="179">
        <v>0.057423645320197</v>
      </c>
      <c r="G170" s="180">
        <v>0.125566502463054</v>
      </c>
    </row>
    <row r="171" spans="1:7">
      <c r="A171" s="177" t="s">
        <v>205</v>
      </c>
      <c r="B171" s="227">
        <v>4.39</v>
      </c>
      <c r="C171" s="79">
        <f t="shared" si="2"/>
        <v>4.06</v>
      </c>
      <c r="D171" s="174">
        <v>0.471958997722096</v>
      </c>
      <c r="E171" s="179">
        <v>0.0831753986332574</v>
      </c>
      <c r="F171" s="179">
        <v>0.0831753986332574</v>
      </c>
      <c r="G171" s="180">
        <v>0.14619589977221</v>
      </c>
    </row>
    <row r="172" spans="1:7">
      <c r="A172" s="177" t="s">
        <v>206</v>
      </c>
      <c r="B172" s="227">
        <v>4.65</v>
      </c>
      <c r="C172" s="79">
        <f t="shared" si="2"/>
        <v>4.39</v>
      </c>
      <c r="D172" s="174">
        <v>0.501483870967742</v>
      </c>
      <c r="E172" s="179">
        <v>0.100890322580645</v>
      </c>
      <c r="F172" s="179">
        <v>0.100890322580645</v>
      </c>
      <c r="G172" s="180">
        <v>0.160387096774194</v>
      </c>
    </row>
    <row r="173" spans="1:7">
      <c r="A173" s="177" t="s">
        <v>207</v>
      </c>
      <c r="B173" s="227">
        <v>5.18</v>
      </c>
      <c r="C173" s="79">
        <f t="shared" si="2"/>
        <v>4.65</v>
      </c>
      <c r="D173" s="174">
        <v>0.552490347490348</v>
      </c>
      <c r="E173" s="179">
        <v>0.131494208494209</v>
      </c>
      <c r="F173" s="179">
        <v>0.131494208494209</v>
      </c>
      <c r="G173" s="180">
        <v>0.184903474903475</v>
      </c>
    </row>
    <row r="174" spans="1:7">
      <c r="A174" s="177" t="s">
        <v>208</v>
      </c>
      <c r="B174" s="227">
        <v>5.67</v>
      </c>
      <c r="C174" s="79">
        <f t="shared" si="2"/>
        <v>5.18</v>
      </c>
      <c r="D174" s="174">
        <v>0.591164021164021</v>
      </c>
      <c r="E174" s="179">
        <v>0.154698412698413</v>
      </c>
      <c r="F174" s="179">
        <v>0.154698412698413</v>
      </c>
      <c r="G174" s="180">
        <v>0.203492063492063</v>
      </c>
    </row>
    <row r="175" spans="1:7">
      <c r="A175" s="177" t="s">
        <v>209</v>
      </c>
      <c r="B175" s="227">
        <v>6.19</v>
      </c>
      <c r="C175" s="79">
        <f t="shared" si="2"/>
        <v>5.67</v>
      </c>
      <c r="D175" s="174">
        <v>0.625508885298869</v>
      </c>
      <c r="E175" s="179">
        <v>0.175305331179322</v>
      </c>
      <c r="F175" s="179">
        <v>0.175305331179322</v>
      </c>
      <c r="G175" s="180">
        <v>0.22</v>
      </c>
    </row>
    <row r="176" spans="1:7">
      <c r="A176" s="177" t="s">
        <v>210</v>
      </c>
      <c r="B176" s="227">
        <v>6.86</v>
      </c>
      <c r="C176" s="79">
        <f t="shared" si="2"/>
        <v>6.19</v>
      </c>
      <c r="D176" s="174">
        <v>0.662084548104956</v>
      </c>
      <c r="E176" s="179">
        <v>0.197250728862974</v>
      </c>
      <c r="F176" s="179">
        <v>0.197250728862974</v>
      </c>
      <c r="G176" s="180">
        <v>0.237580174927114</v>
      </c>
    </row>
    <row r="177" spans="1:7">
      <c r="A177" s="177" t="s">
        <v>211</v>
      </c>
      <c r="B177" s="227">
        <v>7.64</v>
      </c>
      <c r="C177" s="79">
        <f t="shared" si="2"/>
        <v>6.86</v>
      </c>
      <c r="D177" s="174">
        <v>0.696583769633508</v>
      </c>
      <c r="E177" s="179">
        <v>0.217950261780105</v>
      </c>
      <c r="F177" s="179">
        <v>0.217950261780105</v>
      </c>
      <c r="G177" s="180">
        <v>0.254162303664921</v>
      </c>
    </row>
    <row r="178" spans="1:7">
      <c r="A178" s="177" t="s">
        <v>212</v>
      </c>
      <c r="B178" s="227">
        <v>8.8</v>
      </c>
      <c r="C178" s="79">
        <f t="shared" si="2"/>
        <v>7.64</v>
      </c>
      <c r="D178" s="174">
        <v>0.736579545454546</v>
      </c>
      <c r="E178" s="179">
        <v>0.241947727272727</v>
      </c>
      <c r="F178" s="179">
        <v>0.241947727272727</v>
      </c>
      <c r="G178" s="180">
        <v>0.273386363636364</v>
      </c>
    </row>
    <row r="179" spans="1:7">
      <c r="A179" s="177" t="s">
        <v>213</v>
      </c>
      <c r="B179" s="227">
        <v>9.8</v>
      </c>
      <c r="C179" s="79">
        <f t="shared" si="2"/>
        <v>8.8</v>
      </c>
      <c r="D179" s="174">
        <v>0.763459183673469</v>
      </c>
      <c r="E179" s="179">
        <v>0.258075510204082</v>
      </c>
      <c r="F179" s="179">
        <v>0.258075510204082</v>
      </c>
      <c r="G179" s="180">
        <v>0.28630612244898</v>
      </c>
    </row>
    <row r="180" spans="1:7">
      <c r="A180" s="177" t="s">
        <v>214</v>
      </c>
      <c r="B180" s="227">
        <v>11.14</v>
      </c>
      <c r="C180" s="79">
        <f t="shared" si="2"/>
        <v>9.8</v>
      </c>
      <c r="D180" s="174">
        <v>0.791912028725314</v>
      </c>
      <c r="E180" s="179">
        <v>0.275147217235189</v>
      </c>
      <c r="F180" s="179">
        <v>0.275147217235189</v>
      </c>
      <c r="G180" s="180">
        <v>0.299982046678636</v>
      </c>
    </row>
    <row r="181" spans="1:7">
      <c r="A181" s="177" t="s">
        <v>215</v>
      </c>
      <c r="B181" s="227">
        <v>12.85</v>
      </c>
      <c r="C181" s="79">
        <f t="shared" si="2"/>
        <v>11.14</v>
      </c>
      <c r="D181" s="174">
        <v>0.819603112840467</v>
      </c>
      <c r="E181" s="179">
        <v>0.29176186770428</v>
      </c>
      <c r="F181" s="179">
        <v>0.29176186770428</v>
      </c>
      <c r="G181" s="180">
        <v>0.313291828793774</v>
      </c>
    </row>
    <row r="182" spans="1:7">
      <c r="A182" s="177" t="s">
        <v>216</v>
      </c>
      <c r="B182" s="227">
        <v>13.98</v>
      </c>
      <c r="C182" s="79">
        <f t="shared" si="2"/>
        <v>12.85</v>
      </c>
      <c r="D182" s="174">
        <v>0.834184549356223</v>
      </c>
      <c r="E182" s="179">
        <v>0.300510729613734</v>
      </c>
      <c r="F182" s="179">
        <v>0.300510729613734</v>
      </c>
      <c r="G182" s="180">
        <v>0.320300429184549</v>
      </c>
    </row>
    <row r="183" spans="1:7">
      <c r="A183" s="177" t="s">
        <v>217</v>
      </c>
      <c r="B183" s="227">
        <v>16.32</v>
      </c>
      <c r="C183" s="79">
        <f t="shared" si="2"/>
        <v>13.98</v>
      </c>
      <c r="D183" s="174">
        <v>0.857959558823529</v>
      </c>
      <c r="E183" s="179">
        <v>0.314775735294118</v>
      </c>
      <c r="F183" s="179">
        <v>0.314775735294118</v>
      </c>
      <c r="G183" s="180">
        <v>0.331727941176471</v>
      </c>
    </row>
    <row r="184" spans="1:7">
      <c r="A184" s="177" t="s">
        <v>218</v>
      </c>
      <c r="B184" s="227">
        <v>20.19</v>
      </c>
      <c r="C184" s="79">
        <f t="shared" si="2"/>
        <v>16.32</v>
      </c>
      <c r="D184" s="174">
        <v>0.88518573551263</v>
      </c>
      <c r="E184" s="179">
        <v>0.331111441307578</v>
      </c>
      <c r="F184" s="179">
        <v>0.331111441307578</v>
      </c>
      <c r="G184" s="180">
        <v>0.34481426448737</v>
      </c>
    </row>
    <row r="185" spans="1:7">
      <c r="A185" s="177" t="s">
        <v>219</v>
      </c>
      <c r="B185" s="227">
        <v>24.51</v>
      </c>
      <c r="C185" s="79">
        <f t="shared" si="2"/>
        <v>20.19</v>
      </c>
      <c r="D185" s="174">
        <v>0.905422276621787</v>
      </c>
      <c r="E185" s="179">
        <v>0.343253365973072</v>
      </c>
      <c r="F185" s="179">
        <v>0.343253365973072</v>
      </c>
      <c r="G185" s="180">
        <v>0.354541003671971</v>
      </c>
    </row>
    <row r="186" spans="1:7">
      <c r="A186" s="177" t="s">
        <v>220</v>
      </c>
      <c r="B186" s="227">
        <v>28.72</v>
      </c>
      <c r="C186" s="79">
        <f t="shared" si="2"/>
        <v>24.51</v>
      </c>
      <c r="D186" s="174">
        <v>0.919286211699164</v>
      </c>
      <c r="E186" s="179">
        <v>0.351571727019499</v>
      </c>
      <c r="F186" s="179">
        <v>0.351571727019499</v>
      </c>
      <c r="G186" s="180">
        <v>0.361204735376045</v>
      </c>
    </row>
    <row r="187" spans="1:7">
      <c r="A187" s="177" t="s">
        <v>221</v>
      </c>
      <c r="B187" s="227">
        <v>37.81</v>
      </c>
      <c r="C187" s="79">
        <f t="shared" si="2"/>
        <v>28.72</v>
      </c>
      <c r="D187" s="174">
        <v>0.938690822533721</v>
      </c>
      <c r="E187" s="179">
        <v>0.363214493520233</v>
      </c>
      <c r="F187" s="179">
        <v>0.363214493520233</v>
      </c>
      <c r="G187" s="180">
        <v>0.370531605395398</v>
      </c>
    </row>
    <row r="188" ht="15.75" spans="1:7">
      <c r="A188" s="181" t="s">
        <v>221</v>
      </c>
      <c r="B188" s="228" t="s">
        <v>412</v>
      </c>
      <c r="C188" s="79">
        <f t="shared" si="2"/>
        <v>37.81</v>
      </c>
      <c r="D188" s="184"/>
      <c r="E188" s="184"/>
      <c r="F188" s="184"/>
      <c r="G188" s="185"/>
    </row>
    <row r="189" ht="15.75" spans="1:7">
      <c r="A189" s="186"/>
      <c r="B189" s="187">
        <v>5.4</v>
      </c>
      <c r="C189" s="116"/>
      <c r="D189" s="188"/>
      <c r="E189" s="189">
        <v>0.087256692639507</v>
      </c>
      <c r="F189" s="189">
        <v>0.087256692639507</v>
      </c>
      <c r="G189" s="190">
        <v>0.104896235700859</v>
      </c>
    </row>
    <row r="190" ht="51.75" spans="1:7">
      <c r="A190" s="191" t="s">
        <v>233</v>
      </c>
      <c r="B190" s="223">
        <v>1.79</v>
      </c>
      <c r="C190" s="116"/>
      <c r="D190" s="193"/>
      <c r="E190" s="229">
        <v>3.8635</v>
      </c>
      <c r="F190" s="230">
        <v>3.8635</v>
      </c>
      <c r="G190" s="231">
        <v>3.095</v>
      </c>
    </row>
    <row r="191" ht="51.75" spans="1:7">
      <c r="A191" s="197" t="s">
        <v>224</v>
      </c>
      <c r="B191" s="224">
        <v>7.89</v>
      </c>
      <c r="C191" s="116"/>
      <c r="D191" s="199"/>
      <c r="E191" s="232"/>
      <c r="F191" s="232"/>
      <c r="G191" s="233"/>
    </row>
    <row r="192" ht="77.25" spans="1:7">
      <c r="A192" s="202" t="s">
        <v>225</v>
      </c>
      <c r="B192" s="225">
        <v>1.07</v>
      </c>
      <c r="C192" s="116"/>
      <c r="D192" s="184"/>
      <c r="E192" s="234">
        <v>2.3181</v>
      </c>
      <c r="F192" s="234">
        <v>2.3181</v>
      </c>
      <c r="G192" s="235">
        <v>1.857</v>
      </c>
    </row>
    <row r="193" ht="15.75"/>
    <row r="194" ht="51.75" spans="1:2">
      <c r="A194" s="205" t="s">
        <v>224</v>
      </c>
      <c r="B194" s="166">
        <f>B191</f>
        <v>7.89</v>
      </c>
    </row>
    <row r="195" spans="1:3">
      <c r="A195" s="542" t="s">
        <v>226</v>
      </c>
      <c r="B195" s="236">
        <f>AVERAGE(B143:B182)</f>
        <v>3.8635</v>
      </c>
      <c r="C195" s="95"/>
    </row>
    <row r="196" spans="1:3">
      <c r="A196" s="543" t="s">
        <v>227</v>
      </c>
      <c r="B196" s="237">
        <f>AVERAGE(B148:B177)</f>
        <v>3.095</v>
      </c>
      <c r="C196" s="96"/>
    </row>
    <row r="197" ht="15.75" spans="1:3">
      <c r="A197" s="544" t="s">
        <v>228</v>
      </c>
      <c r="B197" s="238">
        <f>AVERAGE(B154:B172)</f>
        <v>2.79210526315789</v>
      </c>
      <c r="C197" s="96"/>
    </row>
    <row r="199" ht="15.75"/>
    <row r="200" customHeight="1" spans="1:7">
      <c r="A200" s="155" t="s">
        <v>165</v>
      </c>
      <c r="B200" s="156" t="s">
        <v>234</v>
      </c>
      <c r="C200" s="157"/>
      <c r="D200" s="158"/>
      <c r="E200" s="159">
        <f>(1-E255)^(1/3)-1</f>
        <v>-0.0296529596970219</v>
      </c>
      <c r="F200" s="160">
        <f>(1-F255)^(1/3)-1</f>
        <v>-0.0296529596970219</v>
      </c>
      <c r="G200" s="161"/>
    </row>
    <row r="201" ht="77.25" spans="1:7">
      <c r="A201" s="162"/>
      <c r="B201" s="130" t="s">
        <v>167</v>
      </c>
      <c r="C201" s="83"/>
      <c r="D201" s="130" t="s">
        <v>168</v>
      </c>
      <c r="E201" s="130" t="s">
        <v>169</v>
      </c>
      <c r="F201" s="130" t="s">
        <v>169</v>
      </c>
      <c r="G201" s="130"/>
    </row>
    <row r="202" ht="26.25" spans="1:7">
      <c r="A202" s="163"/>
      <c r="B202" s="164" t="s">
        <v>235</v>
      </c>
      <c r="C202" s="83"/>
      <c r="D202" s="164" t="s">
        <v>171</v>
      </c>
      <c r="E202" s="538" t="s">
        <v>401</v>
      </c>
      <c r="F202" s="539" t="s">
        <v>402</v>
      </c>
      <c r="G202" s="166"/>
    </row>
    <row r="203" ht="15.75" spans="1:7">
      <c r="A203" s="167">
        <v>1</v>
      </c>
      <c r="B203" s="212">
        <v>2</v>
      </c>
      <c r="C203" s="76"/>
      <c r="D203" s="131">
        <v>3</v>
      </c>
      <c r="E203" s="169">
        <v>4</v>
      </c>
      <c r="F203" s="131">
        <v>5</v>
      </c>
      <c r="G203" s="169"/>
    </row>
    <row r="204" spans="1:7">
      <c r="A204" s="545" t="s">
        <v>172</v>
      </c>
      <c r="B204" s="214">
        <v>1.1</v>
      </c>
      <c r="C204" s="89">
        <v>0</v>
      </c>
      <c r="D204" s="174">
        <v>0</v>
      </c>
      <c r="E204" s="175">
        <v>0</v>
      </c>
      <c r="F204" s="175">
        <v>0</v>
      </c>
      <c r="G204" s="176">
        <v>0</v>
      </c>
    </row>
    <row r="205" spans="1:7">
      <c r="A205" s="546" t="s">
        <v>173</v>
      </c>
      <c r="B205" s="216">
        <v>1.5</v>
      </c>
      <c r="C205" s="79">
        <f>B204</f>
        <v>1.1</v>
      </c>
      <c r="D205" s="174">
        <v>0</v>
      </c>
      <c r="E205" s="179">
        <v>0</v>
      </c>
      <c r="F205" s="179">
        <v>0</v>
      </c>
      <c r="G205" s="180">
        <v>0</v>
      </c>
    </row>
    <row r="206" spans="1:7">
      <c r="A206" s="546" t="s">
        <v>174</v>
      </c>
      <c r="B206" s="216">
        <v>1.8</v>
      </c>
      <c r="C206" s="79">
        <f t="shared" ref="C206:C254" si="3">B205</f>
        <v>1.5</v>
      </c>
      <c r="D206" s="174">
        <v>0</v>
      </c>
      <c r="E206" s="179">
        <v>0</v>
      </c>
      <c r="F206" s="179">
        <v>0</v>
      </c>
      <c r="G206" s="180">
        <v>0</v>
      </c>
    </row>
    <row r="207" spans="1:7">
      <c r="A207" s="546" t="s">
        <v>175</v>
      </c>
      <c r="B207" s="216">
        <v>2</v>
      </c>
      <c r="C207" s="79">
        <f t="shared" si="3"/>
        <v>1.8</v>
      </c>
      <c r="D207" s="174">
        <v>0</v>
      </c>
      <c r="E207" s="179">
        <v>0</v>
      </c>
      <c r="F207" s="179">
        <v>0</v>
      </c>
      <c r="G207" s="180">
        <v>0</v>
      </c>
    </row>
    <row r="208" spans="1:7">
      <c r="A208" s="546" t="s">
        <v>176</v>
      </c>
      <c r="B208" s="216">
        <v>2.3</v>
      </c>
      <c r="C208" s="79">
        <f t="shared" si="3"/>
        <v>2</v>
      </c>
      <c r="D208" s="174">
        <v>0</v>
      </c>
      <c r="E208" s="179">
        <v>0</v>
      </c>
      <c r="F208" s="179">
        <v>0</v>
      </c>
      <c r="G208" s="180">
        <v>0</v>
      </c>
    </row>
    <row r="209" spans="1:7">
      <c r="A209" s="546" t="s">
        <v>177</v>
      </c>
      <c r="B209" s="216">
        <v>2.5</v>
      </c>
      <c r="C209" s="79">
        <f t="shared" si="3"/>
        <v>2.3</v>
      </c>
      <c r="D209" s="174">
        <v>0</v>
      </c>
      <c r="E209" s="179">
        <v>0</v>
      </c>
      <c r="F209" s="179">
        <v>0</v>
      </c>
      <c r="G209" s="180">
        <v>0</v>
      </c>
    </row>
    <row r="210" spans="1:7">
      <c r="A210" s="546" t="s">
        <v>178</v>
      </c>
      <c r="B210" s="216">
        <v>2.8</v>
      </c>
      <c r="C210" s="79">
        <f t="shared" si="3"/>
        <v>2.5</v>
      </c>
      <c r="D210" s="174">
        <v>0</v>
      </c>
      <c r="E210" s="179">
        <v>0</v>
      </c>
      <c r="F210" s="179">
        <v>0</v>
      </c>
      <c r="G210" s="180">
        <v>0</v>
      </c>
    </row>
    <row r="211" spans="1:7">
      <c r="A211" s="215" t="s">
        <v>179</v>
      </c>
      <c r="B211" s="216">
        <v>3</v>
      </c>
      <c r="C211" s="79">
        <f t="shared" si="3"/>
        <v>2.8</v>
      </c>
      <c r="D211" s="174">
        <v>0</v>
      </c>
      <c r="E211" s="179">
        <v>0</v>
      </c>
      <c r="F211" s="179">
        <v>0</v>
      </c>
      <c r="G211" s="180">
        <v>0</v>
      </c>
    </row>
    <row r="212" spans="1:7">
      <c r="A212" s="215" t="s">
        <v>180</v>
      </c>
      <c r="B212" s="216">
        <v>3.2</v>
      </c>
      <c r="C212" s="79">
        <f t="shared" si="3"/>
        <v>3</v>
      </c>
      <c r="D212" s="174">
        <v>0</v>
      </c>
      <c r="E212" s="179">
        <v>0</v>
      </c>
      <c r="F212" s="179">
        <v>0</v>
      </c>
      <c r="G212" s="180">
        <v>0</v>
      </c>
    </row>
    <row r="213" spans="1:7">
      <c r="A213" s="215" t="s">
        <v>181</v>
      </c>
      <c r="B213" s="216">
        <v>3.4</v>
      </c>
      <c r="C213" s="79">
        <f t="shared" si="3"/>
        <v>3.2</v>
      </c>
      <c r="D213" s="174">
        <v>0</v>
      </c>
      <c r="E213" s="179">
        <v>0</v>
      </c>
      <c r="F213" s="179">
        <v>0</v>
      </c>
      <c r="G213" s="180">
        <v>0</v>
      </c>
    </row>
    <row r="214" spans="1:7">
      <c r="A214" s="215" t="s">
        <v>182</v>
      </c>
      <c r="B214" s="216">
        <v>3.6</v>
      </c>
      <c r="C214" s="79">
        <f t="shared" si="3"/>
        <v>3.4</v>
      </c>
      <c r="D214" s="174">
        <v>0</v>
      </c>
      <c r="E214" s="179">
        <v>0</v>
      </c>
      <c r="F214" s="179">
        <v>0</v>
      </c>
      <c r="G214" s="180">
        <v>0</v>
      </c>
    </row>
    <row r="215" spans="1:7">
      <c r="A215" s="215" t="s">
        <v>183</v>
      </c>
      <c r="B215" s="216">
        <v>3.8</v>
      </c>
      <c r="C215" s="79">
        <f t="shared" si="3"/>
        <v>3.6</v>
      </c>
      <c r="D215" s="174">
        <v>0</v>
      </c>
      <c r="E215" s="179">
        <v>0</v>
      </c>
      <c r="F215" s="179">
        <v>0</v>
      </c>
      <c r="G215" s="180">
        <v>0</v>
      </c>
    </row>
    <row r="216" spans="1:7">
      <c r="A216" s="215" t="s">
        <v>184</v>
      </c>
      <c r="B216" s="216">
        <v>4</v>
      </c>
      <c r="C216" s="79">
        <f t="shared" si="3"/>
        <v>3.8</v>
      </c>
      <c r="D216" s="174">
        <v>0</v>
      </c>
      <c r="E216" s="179">
        <v>0</v>
      </c>
      <c r="F216" s="179">
        <v>0</v>
      </c>
      <c r="G216" s="180">
        <v>0</v>
      </c>
    </row>
    <row r="217" spans="1:7">
      <c r="A217" s="215" t="s">
        <v>185</v>
      </c>
      <c r="B217" s="216">
        <v>4.2</v>
      </c>
      <c r="C217" s="79">
        <f t="shared" si="3"/>
        <v>4</v>
      </c>
      <c r="D217" s="174">
        <v>0</v>
      </c>
      <c r="E217" s="179">
        <v>0</v>
      </c>
      <c r="F217" s="179">
        <v>0</v>
      </c>
      <c r="G217" s="180">
        <v>0</v>
      </c>
    </row>
    <row r="218" spans="1:7">
      <c r="A218" s="215" t="s">
        <v>186</v>
      </c>
      <c r="B218" s="216">
        <v>4.4</v>
      </c>
      <c r="C218" s="79">
        <f t="shared" si="3"/>
        <v>4.2</v>
      </c>
      <c r="D218" s="174">
        <v>0</v>
      </c>
      <c r="E218" s="179">
        <v>0</v>
      </c>
      <c r="F218" s="179">
        <v>0</v>
      </c>
      <c r="G218" s="180">
        <v>0</v>
      </c>
    </row>
    <row r="219" spans="1:7">
      <c r="A219" s="215" t="s">
        <v>187</v>
      </c>
      <c r="B219" s="216">
        <v>4.6</v>
      </c>
      <c r="C219" s="79">
        <f t="shared" si="3"/>
        <v>4.4</v>
      </c>
      <c r="D219" s="174">
        <v>0</v>
      </c>
      <c r="E219" s="179">
        <v>0</v>
      </c>
      <c r="F219" s="179">
        <v>0</v>
      </c>
      <c r="G219" s="180">
        <v>0.00260869565217392</v>
      </c>
    </row>
    <row r="220" spans="1:7">
      <c r="A220" s="215" t="s">
        <v>188</v>
      </c>
      <c r="B220" s="216">
        <v>4.8</v>
      </c>
      <c r="C220" s="79">
        <f t="shared" si="3"/>
        <v>4.6</v>
      </c>
      <c r="D220" s="174">
        <v>0</v>
      </c>
      <c r="E220" s="179">
        <v>0</v>
      </c>
      <c r="F220" s="179">
        <v>0</v>
      </c>
      <c r="G220" s="180">
        <v>0.00666666666666667</v>
      </c>
    </row>
    <row r="221" spans="1:7">
      <c r="A221" s="215" t="s">
        <v>189</v>
      </c>
      <c r="B221" s="216">
        <v>5</v>
      </c>
      <c r="C221" s="79">
        <f t="shared" si="3"/>
        <v>4.8</v>
      </c>
      <c r="D221" s="174">
        <v>0</v>
      </c>
      <c r="E221" s="179">
        <v>0</v>
      </c>
      <c r="F221" s="179">
        <v>0</v>
      </c>
      <c r="G221" s="180">
        <v>0.0104</v>
      </c>
    </row>
    <row r="222" spans="1:7">
      <c r="A222" s="215" t="s">
        <v>190</v>
      </c>
      <c r="B222" s="216">
        <v>5.2</v>
      </c>
      <c r="C222" s="79">
        <f t="shared" si="3"/>
        <v>5</v>
      </c>
      <c r="D222" s="174">
        <v>0.00971153846153854</v>
      </c>
      <c r="E222" s="179"/>
      <c r="F222" s="179">
        <v>0.000971153846153855</v>
      </c>
      <c r="G222" s="180">
        <v>0.0138461538461539</v>
      </c>
    </row>
    <row r="223" spans="1:7">
      <c r="A223" s="215" t="s">
        <v>191</v>
      </c>
      <c r="B223" s="216">
        <v>5.4</v>
      </c>
      <c r="C223" s="79">
        <f t="shared" si="3"/>
        <v>5.2</v>
      </c>
      <c r="D223" s="174">
        <v>0.046388888888889</v>
      </c>
      <c r="E223" s="179"/>
      <c r="F223" s="179">
        <v>0.0046388888888889</v>
      </c>
      <c r="G223" s="180">
        <v>0.0170370370370371</v>
      </c>
    </row>
    <row r="224" spans="1:7">
      <c r="A224" s="215" t="s">
        <v>192</v>
      </c>
      <c r="B224" s="216">
        <v>5.6</v>
      </c>
      <c r="C224" s="79">
        <f t="shared" si="3"/>
        <v>5.4</v>
      </c>
      <c r="D224" s="174">
        <v>0.0804464285714286</v>
      </c>
      <c r="E224" s="179"/>
      <c r="F224" s="179">
        <v>0.00804464285714286</v>
      </c>
      <c r="G224" s="180">
        <v>0.02</v>
      </c>
    </row>
    <row r="225" spans="1:7">
      <c r="A225" s="215" t="s">
        <v>193</v>
      </c>
      <c r="B225" s="216">
        <v>5.9</v>
      </c>
      <c r="C225" s="79">
        <f t="shared" si="3"/>
        <v>5.6</v>
      </c>
      <c r="D225" s="174">
        <v>0.127203389830509</v>
      </c>
      <c r="E225" s="179">
        <v>0.0127203389830509</v>
      </c>
      <c r="F225" s="179">
        <v>0.0127203389830509</v>
      </c>
      <c r="G225" s="180">
        <v>0.0240677966101695</v>
      </c>
    </row>
    <row r="226" spans="1:7">
      <c r="A226" s="215" t="s">
        <v>194</v>
      </c>
      <c r="B226" s="216">
        <v>6.1</v>
      </c>
      <c r="C226" s="79">
        <f t="shared" si="3"/>
        <v>5.9</v>
      </c>
      <c r="D226" s="174">
        <v>0.155819672131148</v>
      </c>
      <c r="E226" s="179">
        <v>0.0155819672131148</v>
      </c>
      <c r="F226" s="179">
        <v>0.0155819672131148</v>
      </c>
      <c r="G226" s="180">
        <v>0.0265573770491803</v>
      </c>
    </row>
    <row r="227" spans="1:7">
      <c r="A227" s="215" t="s">
        <v>195</v>
      </c>
      <c r="B227" s="216">
        <v>6.3</v>
      </c>
      <c r="C227" s="79">
        <f t="shared" si="3"/>
        <v>6.1</v>
      </c>
      <c r="D227" s="174">
        <v>0.182619047619048</v>
      </c>
      <c r="E227" s="179">
        <v>0.0182619047619048</v>
      </c>
      <c r="F227" s="179">
        <v>0.0182619047619048</v>
      </c>
      <c r="G227" s="180">
        <v>0.0288888888888889</v>
      </c>
    </row>
    <row r="228" spans="1:7">
      <c r="A228" s="215" t="s">
        <v>196</v>
      </c>
      <c r="B228" s="216">
        <v>6.5</v>
      </c>
      <c r="C228" s="79">
        <f t="shared" si="3"/>
        <v>6.3</v>
      </c>
      <c r="D228" s="174">
        <v>0.207769230769231</v>
      </c>
      <c r="E228" s="179">
        <v>0.0207769230769231</v>
      </c>
      <c r="F228" s="179">
        <v>0.0207769230769231</v>
      </c>
      <c r="G228" s="180">
        <v>0.0310769230769231</v>
      </c>
    </row>
    <row r="229" spans="1:7">
      <c r="A229" s="215" t="s">
        <v>197</v>
      </c>
      <c r="B229" s="216">
        <v>6.8</v>
      </c>
      <c r="C229" s="79">
        <f t="shared" si="3"/>
        <v>6.5</v>
      </c>
      <c r="D229" s="174">
        <v>0.242720588235294</v>
      </c>
      <c r="E229" s="179">
        <v>0.0242720588235294</v>
      </c>
      <c r="F229" s="179">
        <v>0.0242720588235294</v>
      </c>
      <c r="G229" s="180">
        <v>0.0341176470588235</v>
      </c>
    </row>
    <row r="230" spans="1:7">
      <c r="A230" s="215" t="s">
        <v>198</v>
      </c>
      <c r="B230" s="216">
        <v>7.1</v>
      </c>
      <c r="C230" s="79">
        <f t="shared" si="3"/>
        <v>6.8</v>
      </c>
      <c r="D230" s="174">
        <v>0.274718309859155</v>
      </c>
      <c r="E230" s="179">
        <v>0.0274718309859155</v>
      </c>
      <c r="F230" s="179">
        <v>0.0274718309859155</v>
      </c>
      <c r="G230" s="180">
        <v>0.0369014084507042</v>
      </c>
    </row>
    <row r="231" spans="1:7">
      <c r="A231" s="215" t="s">
        <v>199</v>
      </c>
      <c r="B231" s="216">
        <v>7.4</v>
      </c>
      <c r="C231" s="79">
        <f t="shared" si="3"/>
        <v>7.1</v>
      </c>
      <c r="D231" s="174">
        <v>0.304121621621622</v>
      </c>
      <c r="E231" s="179">
        <v>0.0304121621621622</v>
      </c>
      <c r="F231" s="179">
        <v>0.0304121621621622</v>
      </c>
      <c r="G231" s="180">
        <v>0.0394594594594595</v>
      </c>
    </row>
    <row r="232" spans="1:7">
      <c r="A232" s="215" t="s">
        <v>200</v>
      </c>
      <c r="B232" s="216">
        <v>7.7</v>
      </c>
      <c r="C232" s="79">
        <f t="shared" si="3"/>
        <v>7.4</v>
      </c>
      <c r="D232" s="174">
        <v>0.331233766233766</v>
      </c>
      <c r="E232" s="179">
        <v>0.0331233766233766</v>
      </c>
      <c r="F232" s="179">
        <v>0.0331233766233766</v>
      </c>
      <c r="G232" s="180">
        <v>0.0509090909090909</v>
      </c>
    </row>
    <row r="233" spans="1:7">
      <c r="A233" s="215" t="s">
        <v>201</v>
      </c>
      <c r="B233" s="216">
        <v>8.1</v>
      </c>
      <c r="C233" s="79">
        <f t="shared" si="3"/>
        <v>7.7</v>
      </c>
      <c r="D233" s="174">
        <v>0.364259259259259</v>
      </c>
      <c r="E233" s="179">
        <v>0.0364259259259259</v>
      </c>
      <c r="F233" s="179">
        <v>0.0364259259259259</v>
      </c>
      <c r="G233" s="180">
        <v>0.0681481481481481</v>
      </c>
    </row>
    <row r="234" spans="1:7">
      <c r="A234" s="215" t="s">
        <v>202</v>
      </c>
      <c r="B234" s="216">
        <v>8.5</v>
      </c>
      <c r="C234" s="79">
        <f t="shared" si="3"/>
        <v>8.1</v>
      </c>
      <c r="D234" s="174">
        <v>0.394176470588235</v>
      </c>
      <c r="E234" s="179">
        <v>0.0394176470588235</v>
      </c>
      <c r="F234" s="179">
        <v>0.0394176470588235</v>
      </c>
      <c r="G234" s="180">
        <v>0.0837647058823529</v>
      </c>
    </row>
    <row r="235" spans="1:7">
      <c r="A235" s="215" t="s">
        <v>203</v>
      </c>
      <c r="B235" s="216">
        <v>9</v>
      </c>
      <c r="C235" s="79">
        <f t="shared" si="3"/>
        <v>8.5</v>
      </c>
      <c r="D235" s="174">
        <v>0.427833333333333</v>
      </c>
      <c r="E235" s="179">
        <v>0.0567</v>
      </c>
      <c r="F235" s="179">
        <v>0.0567</v>
      </c>
      <c r="G235" s="180">
        <v>0.101333333333333</v>
      </c>
    </row>
    <row r="236" spans="1:7">
      <c r="A236" s="215" t="s">
        <v>204</v>
      </c>
      <c r="B236" s="216">
        <v>9.4</v>
      </c>
      <c r="C236" s="79">
        <f t="shared" si="3"/>
        <v>9</v>
      </c>
      <c r="D236" s="174">
        <v>0.45218085106383</v>
      </c>
      <c r="E236" s="179">
        <v>0.0713085106382979</v>
      </c>
      <c r="F236" s="179">
        <v>0.0713085106382979</v>
      </c>
      <c r="G236" s="180">
        <v>0.114042553191489</v>
      </c>
    </row>
    <row r="237" spans="1:7">
      <c r="A237" s="215" t="s">
        <v>205</v>
      </c>
      <c r="B237" s="216">
        <v>9.9</v>
      </c>
      <c r="C237" s="79">
        <f t="shared" si="3"/>
        <v>9.4</v>
      </c>
      <c r="D237" s="174">
        <v>0.479848484848485</v>
      </c>
      <c r="E237" s="179">
        <v>0.0879090909090909</v>
      </c>
      <c r="F237" s="179">
        <v>0.0879090909090909</v>
      </c>
      <c r="G237" s="180">
        <v>0.128484848484849</v>
      </c>
    </row>
    <row r="238" spans="1:7">
      <c r="A238" s="215" t="s">
        <v>206</v>
      </c>
      <c r="B238" s="216">
        <v>10.5</v>
      </c>
      <c r="C238" s="79">
        <f t="shared" si="3"/>
        <v>9.9</v>
      </c>
      <c r="D238" s="174">
        <v>0.509571428571429</v>
      </c>
      <c r="E238" s="179">
        <v>0.105742857142857</v>
      </c>
      <c r="F238" s="179">
        <v>0.105742857142857</v>
      </c>
      <c r="G238" s="180">
        <v>0.144</v>
      </c>
    </row>
    <row r="239" spans="1:7">
      <c r="A239" s="215" t="s">
        <v>207</v>
      </c>
      <c r="B239" s="216">
        <v>11.2</v>
      </c>
      <c r="C239" s="79">
        <f t="shared" si="3"/>
        <v>10.5</v>
      </c>
      <c r="D239" s="174">
        <v>0.540223214285714</v>
      </c>
      <c r="E239" s="179">
        <v>0.124133928571429</v>
      </c>
      <c r="F239" s="179">
        <v>0.124133928571429</v>
      </c>
      <c r="G239" s="180">
        <v>0.16</v>
      </c>
    </row>
    <row r="240" spans="1:7">
      <c r="A240" s="215" t="s">
        <v>208</v>
      </c>
      <c r="B240" s="216">
        <v>11.9</v>
      </c>
      <c r="C240" s="79">
        <f t="shared" si="3"/>
        <v>11.2</v>
      </c>
      <c r="D240" s="174">
        <v>0.567268907563025</v>
      </c>
      <c r="E240" s="179">
        <v>0.140361344537815</v>
      </c>
      <c r="F240" s="179">
        <v>0.140361344537815</v>
      </c>
      <c r="G240" s="180">
        <v>0.174117647058824</v>
      </c>
    </row>
    <row r="241" spans="1:7">
      <c r="A241" s="215" t="s">
        <v>209</v>
      </c>
      <c r="B241" s="216">
        <v>12.6</v>
      </c>
      <c r="C241" s="79">
        <f t="shared" si="3"/>
        <v>11.9</v>
      </c>
      <c r="D241" s="174">
        <v>0.591309523809524</v>
      </c>
      <c r="E241" s="179">
        <v>0.154785714285714</v>
      </c>
      <c r="F241" s="179">
        <v>0.154785714285714</v>
      </c>
      <c r="G241" s="180">
        <v>0.186666666666667</v>
      </c>
    </row>
    <row r="242" spans="1:7">
      <c r="A242" s="215" t="s">
        <v>210</v>
      </c>
      <c r="B242" s="216">
        <v>13.6</v>
      </c>
      <c r="C242" s="79">
        <f t="shared" si="3"/>
        <v>12.6</v>
      </c>
      <c r="D242" s="174">
        <v>0.621360294117647</v>
      </c>
      <c r="E242" s="179">
        <v>0.172816176470588</v>
      </c>
      <c r="F242" s="179">
        <v>0.172816176470588</v>
      </c>
      <c r="G242" s="180">
        <v>0.202352941176471</v>
      </c>
    </row>
    <row r="243" spans="1:7">
      <c r="A243" s="215" t="s">
        <v>211</v>
      </c>
      <c r="B243" s="216">
        <v>14.9</v>
      </c>
      <c r="C243" s="79">
        <f t="shared" si="3"/>
        <v>13.6</v>
      </c>
      <c r="D243" s="174">
        <v>0.654395973154362</v>
      </c>
      <c r="E243" s="179">
        <v>0.192637583892617</v>
      </c>
      <c r="F243" s="179">
        <v>0.192637583892617</v>
      </c>
      <c r="G243" s="180">
        <v>0.219597315436242</v>
      </c>
    </row>
    <row r="244" spans="1:7">
      <c r="A244" s="215" t="s">
        <v>212</v>
      </c>
      <c r="B244" s="216">
        <v>16.2</v>
      </c>
      <c r="C244" s="79">
        <f t="shared" si="3"/>
        <v>14.9</v>
      </c>
      <c r="D244" s="174">
        <v>0.68212962962963</v>
      </c>
      <c r="E244" s="179">
        <v>0.209277777777778</v>
      </c>
      <c r="F244" s="179">
        <v>0.209277777777778</v>
      </c>
      <c r="G244" s="180">
        <v>0.234074074074074</v>
      </c>
    </row>
    <row r="245" spans="1:7">
      <c r="A245" s="215" t="s">
        <v>213</v>
      </c>
      <c r="B245" s="216">
        <v>18</v>
      </c>
      <c r="C245" s="79">
        <f t="shared" si="3"/>
        <v>16.2</v>
      </c>
      <c r="D245" s="174">
        <v>0.713916666666667</v>
      </c>
      <c r="E245" s="179">
        <v>0.22835</v>
      </c>
      <c r="F245" s="179">
        <v>0.22835</v>
      </c>
      <c r="G245" s="180">
        <v>0.250666666666667</v>
      </c>
    </row>
    <row r="246" spans="1:7">
      <c r="A246" s="215" t="s">
        <v>214</v>
      </c>
      <c r="B246" s="216">
        <v>20.2</v>
      </c>
      <c r="C246" s="79">
        <f t="shared" si="3"/>
        <v>18</v>
      </c>
      <c r="D246" s="174">
        <v>0.745074257425743</v>
      </c>
      <c r="E246" s="179">
        <v>0.247044554455446</v>
      </c>
      <c r="F246" s="179">
        <v>0.247044554455446</v>
      </c>
      <c r="G246" s="180">
        <v>0.266930693069307</v>
      </c>
    </row>
    <row r="247" spans="1:7">
      <c r="A247" s="215" t="s">
        <v>215</v>
      </c>
      <c r="B247" s="216">
        <v>23</v>
      </c>
      <c r="C247" s="79">
        <f t="shared" si="3"/>
        <v>20.2</v>
      </c>
      <c r="D247" s="174">
        <v>0.776108695652174</v>
      </c>
      <c r="E247" s="179">
        <v>0.265665217391304</v>
      </c>
      <c r="F247" s="179">
        <v>0.265665217391304</v>
      </c>
      <c r="G247" s="180">
        <v>0.283130434782609</v>
      </c>
    </row>
    <row r="248" spans="1:7">
      <c r="A248" s="215" t="s">
        <v>216</v>
      </c>
      <c r="B248" s="216">
        <v>27</v>
      </c>
      <c r="C248" s="79">
        <f t="shared" si="3"/>
        <v>23</v>
      </c>
      <c r="D248" s="174">
        <v>0.809277777777778</v>
      </c>
      <c r="E248" s="179">
        <v>0.285566666666667</v>
      </c>
      <c r="F248" s="179">
        <v>0.285566666666667</v>
      </c>
      <c r="G248" s="180">
        <v>0.300444444444444</v>
      </c>
    </row>
    <row r="249" spans="1:7">
      <c r="A249" s="215" t="s">
        <v>217</v>
      </c>
      <c r="B249" s="216">
        <v>31.9</v>
      </c>
      <c r="C249" s="79">
        <f t="shared" si="3"/>
        <v>27</v>
      </c>
      <c r="D249" s="174">
        <v>0.838573667711599</v>
      </c>
      <c r="E249" s="179">
        <v>0.303144200626959</v>
      </c>
      <c r="F249" s="179">
        <v>0.303144200626959</v>
      </c>
      <c r="G249" s="180">
        <v>0.315736677115988</v>
      </c>
    </row>
    <row r="250" spans="1:7">
      <c r="A250" s="215" t="s">
        <v>218</v>
      </c>
      <c r="B250" s="216">
        <v>38.4</v>
      </c>
      <c r="C250" s="79">
        <f t="shared" si="3"/>
        <v>31.9</v>
      </c>
      <c r="D250" s="174">
        <v>0.8658984375</v>
      </c>
      <c r="E250" s="179">
        <v>0.3195390625</v>
      </c>
      <c r="F250" s="179">
        <v>0.3195390625</v>
      </c>
      <c r="G250" s="180">
        <v>0.33</v>
      </c>
    </row>
    <row r="251" spans="1:7">
      <c r="A251" s="215" t="s">
        <v>219</v>
      </c>
      <c r="B251" s="216">
        <v>50.6</v>
      </c>
      <c r="C251" s="79">
        <f t="shared" si="3"/>
        <v>38.4</v>
      </c>
      <c r="D251" s="174">
        <v>0.898231225296443</v>
      </c>
      <c r="E251" s="179">
        <v>0.338938735177866</v>
      </c>
      <c r="F251" s="179">
        <v>0.338938735177866</v>
      </c>
      <c r="G251" s="180">
        <v>0.346877470355731</v>
      </c>
    </row>
    <row r="252" spans="1:7">
      <c r="A252" s="215" t="s">
        <v>220</v>
      </c>
      <c r="B252" s="216">
        <v>75.3</v>
      </c>
      <c r="C252" s="79">
        <f t="shared" si="3"/>
        <v>50.6</v>
      </c>
      <c r="D252" s="174">
        <v>0.931613545816733</v>
      </c>
      <c r="E252" s="179">
        <v>0.35896812749004</v>
      </c>
      <c r="F252" s="179">
        <v>0.35896812749004</v>
      </c>
      <c r="G252" s="180">
        <v>0.364302788844622</v>
      </c>
    </row>
    <row r="253" spans="1:7">
      <c r="A253" s="215" t="s">
        <v>221</v>
      </c>
      <c r="B253" s="216">
        <v>175</v>
      </c>
      <c r="C253" s="79">
        <f t="shared" si="3"/>
        <v>75.3</v>
      </c>
      <c r="D253" s="174">
        <v>0.970574285714286</v>
      </c>
      <c r="E253" s="179">
        <v>0.382344571428571</v>
      </c>
      <c r="F253" s="179">
        <v>0.382344571428571</v>
      </c>
      <c r="G253" s="180">
        <v>0.38464</v>
      </c>
    </row>
    <row r="254" ht="15.75" spans="1:7">
      <c r="A254" s="217" t="s">
        <v>221</v>
      </c>
      <c r="B254" s="239" t="s">
        <v>413</v>
      </c>
      <c r="C254" s="79">
        <f t="shared" si="3"/>
        <v>175</v>
      </c>
      <c r="D254" s="184"/>
      <c r="E254" s="184"/>
      <c r="F254" s="184"/>
      <c r="G254" s="185"/>
    </row>
    <row r="255" ht="15.75" spans="1:7">
      <c r="A255" s="186"/>
      <c r="B255" s="219">
        <v>5.4</v>
      </c>
      <c r="C255" s="78"/>
      <c r="D255" s="220"/>
      <c r="E255" s="221">
        <v>0.086347058823399</v>
      </c>
      <c r="F255" s="221">
        <v>0.086347058823399</v>
      </c>
      <c r="G255" s="222">
        <v>0.100036971068742</v>
      </c>
    </row>
    <row r="256" ht="51" spans="1:7">
      <c r="A256" s="191" t="s">
        <v>233</v>
      </c>
      <c r="B256" s="223">
        <v>3.6</v>
      </c>
      <c r="C256" s="78"/>
      <c r="D256" s="193"/>
      <c r="E256" s="194">
        <v>8.5825</v>
      </c>
      <c r="F256" s="195">
        <v>8.5825</v>
      </c>
      <c r="G256" s="196">
        <v>7.46666666666667</v>
      </c>
    </row>
    <row r="257" ht="54" customHeight="1" spans="1:7">
      <c r="A257" s="197" t="s">
        <v>224</v>
      </c>
      <c r="B257" s="224">
        <v>14.5</v>
      </c>
      <c r="C257" s="78"/>
      <c r="D257" s="199"/>
      <c r="E257" s="200"/>
      <c r="F257" s="200"/>
      <c r="G257" s="201"/>
    </row>
    <row r="258" ht="77.25" customHeight="1" spans="1:7">
      <c r="A258" s="202" t="s">
        <v>225</v>
      </c>
      <c r="B258" s="225">
        <v>2.2</v>
      </c>
      <c r="C258" s="78"/>
      <c r="D258" s="184"/>
      <c r="E258" s="183">
        <v>5.1495</v>
      </c>
      <c r="F258" s="183">
        <v>5.1495</v>
      </c>
      <c r="G258" s="204">
        <v>4.48</v>
      </c>
    </row>
    <row r="259" ht="15.75"/>
    <row r="260" ht="51.75" spans="1:2">
      <c r="A260" s="205" t="s">
        <v>224</v>
      </c>
      <c r="B260" s="166">
        <f>B257</f>
        <v>14.5</v>
      </c>
    </row>
    <row r="261" spans="1:3">
      <c r="A261" s="542" t="s">
        <v>226</v>
      </c>
      <c r="B261" s="207">
        <f>AVERAGE(B209:B248)</f>
        <v>8.5825</v>
      </c>
      <c r="C261" s="95"/>
    </row>
    <row r="262" spans="1:3">
      <c r="A262" s="543" t="s">
        <v>227</v>
      </c>
      <c r="B262" s="209">
        <f>AVERAGE(B214:B243)</f>
        <v>7.46666666666667</v>
      </c>
      <c r="C262" s="96"/>
    </row>
    <row r="263" ht="15.75" spans="1:3">
      <c r="A263" s="544" t="s">
        <v>228</v>
      </c>
      <c r="B263" s="211">
        <f>AVERAGE(B220:B238)</f>
        <v>7.11578947368421</v>
      </c>
      <c r="C263" s="96"/>
    </row>
    <row r="265" ht="15.75"/>
    <row r="266" customHeight="1" spans="1:7">
      <c r="A266" s="155" t="s">
        <v>165</v>
      </c>
      <c r="B266" s="156" t="s">
        <v>363</v>
      </c>
      <c r="C266" s="157"/>
      <c r="D266" s="158"/>
      <c r="E266" s="159">
        <f>(1-E321)^(1/3)-1</f>
        <v>-0.026518332106426</v>
      </c>
      <c r="F266" s="160">
        <f>(1-F321)^(1/3)-1</f>
        <v>-0.026518332106426</v>
      </c>
      <c r="G266" s="161"/>
    </row>
    <row r="267" ht="77.25" spans="1:7">
      <c r="A267" s="162"/>
      <c r="B267" s="130" t="s">
        <v>167</v>
      </c>
      <c r="C267" s="130"/>
      <c r="D267" s="130" t="s">
        <v>168</v>
      </c>
      <c r="E267" s="130" t="s">
        <v>169</v>
      </c>
      <c r="F267" s="130" t="s">
        <v>169</v>
      </c>
      <c r="G267" s="130"/>
    </row>
    <row r="268" ht="26.25" spans="1:7">
      <c r="A268" s="163"/>
      <c r="B268" s="164" t="s">
        <v>364</v>
      </c>
      <c r="D268" s="164" t="s">
        <v>171</v>
      </c>
      <c r="E268" s="538" t="s">
        <v>401</v>
      </c>
      <c r="F268" s="539" t="s">
        <v>402</v>
      </c>
      <c r="G268" s="166"/>
    </row>
    <row r="269" ht="15.75" spans="1:7">
      <c r="A269" s="167">
        <v>1</v>
      </c>
      <c r="B269" s="212">
        <v>2</v>
      </c>
      <c r="D269" s="131">
        <v>3</v>
      </c>
      <c r="E269" s="169">
        <v>4</v>
      </c>
      <c r="F269" s="131">
        <v>5</v>
      </c>
      <c r="G269" s="169"/>
    </row>
    <row r="270" spans="1:7">
      <c r="A270" s="545" t="s">
        <v>172</v>
      </c>
      <c r="B270" s="214">
        <v>1.5</v>
      </c>
      <c r="C270">
        <v>0</v>
      </c>
      <c r="D270" s="174">
        <v>0</v>
      </c>
      <c r="E270" s="175">
        <v>0</v>
      </c>
      <c r="F270" s="175">
        <v>0</v>
      </c>
      <c r="G270" s="176">
        <v>0</v>
      </c>
    </row>
    <row r="271" spans="1:7">
      <c r="A271" s="546" t="s">
        <v>173</v>
      </c>
      <c r="B271" s="216">
        <v>7.2</v>
      </c>
      <c r="C271" s="79">
        <f>B270</f>
        <v>1.5</v>
      </c>
      <c r="D271" s="174">
        <v>0</v>
      </c>
      <c r="E271" s="179">
        <v>0</v>
      </c>
      <c r="F271" s="179">
        <v>0</v>
      </c>
      <c r="G271" s="180">
        <v>0</v>
      </c>
    </row>
    <row r="272" spans="1:7">
      <c r="A272" s="546" t="s">
        <v>174</v>
      </c>
      <c r="B272" s="216">
        <v>11</v>
      </c>
      <c r="C272" s="79">
        <f t="shared" ref="C272:C320" si="4">B271</f>
        <v>7.2</v>
      </c>
      <c r="D272" s="174">
        <v>0</v>
      </c>
      <c r="E272" s="179">
        <v>0</v>
      </c>
      <c r="F272" s="179">
        <v>0</v>
      </c>
      <c r="G272" s="180">
        <v>0</v>
      </c>
    </row>
    <row r="273" spans="1:7">
      <c r="A273" s="546" t="s">
        <v>175</v>
      </c>
      <c r="B273" s="216">
        <v>13.6</v>
      </c>
      <c r="C273" s="79">
        <f t="shared" si="4"/>
        <v>11</v>
      </c>
      <c r="D273" s="174">
        <v>0</v>
      </c>
      <c r="E273" s="179">
        <v>0</v>
      </c>
      <c r="F273" s="179">
        <v>0</v>
      </c>
      <c r="G273" s="180">
        <v>0</v>
      </c>
    </row>
    <row r="274" spans="1:7">
      <c r="A274" s="546" t="s">
        <v>176</v>
      </c>
      <c r="B274" s="216">
        <v>15.7</v>
      </c>
      <c r="C274" s="79">
        <f t="shared" si="4"/>
        <v>13.6</v>
      </c>
      <c r="D274" s="174">
        <v>0</v>
      </c>
      <c r="E274" s="179">
        <v>0</v>
      </c>
      <c r="F274" s="179">
        <v>0</v>
      </c>
      <c r="G274" s="180">
        <v>0</v>
      </c>
    </row>
    <row r="275" spans="1:7">
      <c r="A275" s="546" t="s">
        <v>177</v>
      </c>
      <c r="B275" s="216">
        <v>17.3</v>
      </c>
      <c r="C275" s="79">
        <f t="shared" si="4"/>
        <v>15.7</v>
      </c>
      <c r="D275" s="174">
        <v>0</v>
      </c>
      <c r="E275" s="179">
        <v>0</v>
      </c>
      <c r="F275" s="179">
        <v>0</v>
      </c>
      <c r="G275" s="180">
        <v>0</v>
      </c>
    </row>
    <row r="276" spans="1:7">
      <c r="A276" s="546" t="s">
        <v>178</v>
      </c>
      <c r="B276" s="216">
        <v>18.7</v>
      </c>
      <c r="C276" s="79">
        <f t="shared" si="4"/>
        <v>17.3</v>
      </c>
      <c r="D276" s="174">
        <v>0</v>
      </c>
      <c r="E276" s="179">
        <v>0</v>
      </c>
      <c r="F276" s="179">
        <v>0</v>
      </c>
      <c r="G276" s="180">
        <v>0</v>
      </c>
    </row>
    <row r="277" spans="1:7">
      <c r="A277" s="215" t="s">
        <v>179</v>
      </c>
      <c r="B277" s="216">
        <v>19.8</v>
      </c>
      <c r="C277" s="79">
        <f t="shared" si="4"/>
        <v>18.7</v>
      </c>
      <c r="D277" s="174">
        <v>0</v>
      </c>
      <c r="E277" s="179">
        <v>0</v>
      </c>
      <c r="F277" s="179">
        <v>0</v>
      </c>
      <c r="G277" s="180">
        <v>0</v>
      </c>
    </row>
    <row r="278" spans="1:7">
      <c r="A278" s="215" t="s">
        <v>180</v>
      </c>
      <c r="B278" s="216">
        <v>21</v>
      </c>
      <c r="C278" s="79">
        <f t="shared" si="4"/>
        <v>19.8</v>
      </c>
      <c r="D278" s="174">
        <v>0</v>
      </c>
      <c r="E278" s="179">
        <v>0</v>
      </c>
      <c r="F278" s="179">
        <v>0</v>
      </c>
      <c r="G278" s="180">
        <v>0</v>
      </c>
    </row>
    <row r="279" spans="1:7">
      <c r="A279" s="215" t="s">
        <v>181</v>
      </c>
      <c r="B279" s="216">
        <v>21.9</v>
      </c>
      <c r="C279" s="79">
        <f t="shared" si="4"/>
        <v>21</v>
      </c>
      <c r="D279" s="174">
        <v>0</v>
      </c>
      <c r="E279" s="179">
        <v>0</v>
      </c>
      <c r="F279" s="179">
        <v>0</v>
      </c>
      <c r="G279" s="180">
        <v>0.00184474885844746</v>
      </c>
    </row>
    <row r="280" spans="1:7">
      <c r="A280" s="215" t="s">
        <v>182</v>
      </c>
      <c r="B280" s="216">
        <v>23</v>
      </c>
      <c r="C280" s="79">
        <f t="shared" si="4"/>
        <v>21.9</v>
      </c>
      <c r="D280" s="174">
        <v>0.0416304347826088</v>
      </c>
      <c r="E280" s="179"/>
      <c r="F280" s="179">
        <v>0.00416304347826088</v>
      </c>
      <c r="G280" s="180">
        <v>0.00653913043478258</v>
      </c>
    </row>
    <row r="281" spans="1:7">
      <c r="A281" s="215" t="s">
        <v>183</v>
      </c>
      <c r="B281" s="216">
        <v>23.9</v>
      </c>
      <c r="C281" s="79">
        <f t="shared" si="4"/>
        <v>23</v>
      </c>
      <c r="D281" s="174">
        <v>0.0777196652719666</v>
      </c>
      <c r="E281" s="179"/>
      <c r="F281" s="179">
        <v>0.00777196652719666</v>
      </c>
      <c r="G281" s="180">
        <v>0.0100585774058577</v>
      </c>
    </row>
    <row r="282" spans="1:7">
      <c r="A282" s="215" t="s">
        <v>184</v>
      </c>
      <c r="B282" s="216">
        <v>24.9</v>
      </c>
      <c r="C282" s="79">
        <f t="shared" si="4"/>
        <v>23.9</v>
      </c>
      <c r="D282" s="174">
        <v>0.114759036144578</v>
      </c>
      <c r="E282" s="179">
        <v>0.0114759036144578</v>
      </c>
      <c r="F282" s="179">
        <v>0.0114759036144578</v>
      </c>
      <c r="G282" s="180">
        <v>0.0136706827309237</v>
      </c>
    </row>
    <row r="283" spans="1:7">
      <c r="A283" s="215" t="s">
        <v>185</v>
      </c>
      <c r="B283" s="216">
        <v>26</v>
      </c>
      <c r="C283" s="79">
        <f t="shared" si="4"/>
        <v>24.9</v>
      </c>
      <c r="D283" s="174">
        <v>0.152211538461539</v>
      </c>
      <c r="E283" s="179">
        <v>0.0152211538461539</v>
      </c>
      <c r="F283" s="179">
        <v>0.0152211538461539</v>
      </c>
      <c r="G283" s="180">
        <v>0.0173230769230769</v>
      </c>
    </row>
    <row r="284" spans="1:7">
      <c r="A284" s="215" t="s">
        <v>186</v>
      </c>
      <c r="B284" s="216">
        <v>26.7</v>
      </c>
      <c r="C284" s="79">
        <f t="shared" si="4"/>
        <v>26</v>
      </c>
      <c r="D284" s="174">
        <v>0.174438202247191</v>
      </c>
      <c r="E284" s="179">
        <v>0.0174438202247191</v>
      </c>
      <c r="F284" s="179">
        <v>0.0174438202247191</v>
      </c>
      <c r="G284" s="180">
        <v>0.0194906367041198</v>
      </c>
    </row>
    <row r="285" spans="1:7">
      <c r="A285" s="215" t="s">
        <v>187</v>
      </c>
      <c r="B285" s="216">
        <v>27.6</v>
      </c>
      <c r="C285" s="79">
        <f t="shared" si="4"/>
        <v>26.7</v>
      </c>
      <c r="D285" s="174">
        <v>0.201358695652174</v>
      </c>
      <c r="E285" s="179">
        <v>0.0201358695652174</v>
      </c>
      <c r="F285" s="179">
        <v>0.0201358695652174</v>
      </c>
      <c r="G285" s="180">
        <v>0.0221159420289855</v>
      </c>
    </row>
    <row r="286" spans="1:7">
      <c r="A286" s="215" t="s">
        <v>188</v>
      </c>
      <c r="B286" s="216">
        <v>28.4</v>
      </c>
      <c r="C286" s="79">
        <f t="shared" si="4"/>
        <v>27.6</v>
      </c>
      <c r="D286" s="174">
        <v>0.223855633802817</v>
      </c>
      <c r="E286" s="179">
        <v>0.0223855633802817</v>
      </c>
      <c r="F286" s="179">
        <v>0.0223855633802817</v>
      </c>
      <c r="G286" s="180">
        <v>0.0243098591549296</v>
      </c>
    </row>
    <row r="287" spans="1:7">
      <c r="A287" s="215" t="s">
        <v>189</v>
      </c>
      <c r="B287" s="216">
        <v>29.1</v>
      </c>
      <c r="C287" s="79">
        <f t="shared" si="4"/>
        <v>28.4</v>
      </c>
      <c r="D287" s="174">
        <v>0.242525773195876</v>
      </c>
      <c r="E287" s="179">
        <v>0.0242525773195876</v>
      </c>
      <c r="F287" s="179">
        <v>0.0242525773195876</v>
      </c>
      <c r="G287" s="180">
        <v>0.0261305841924398</v>
      </c>
    </row>
    <row r="288" spans="1:7">
      <c r="A288" s="215" t="s">
        <v>190</v>
      </c>
      <c r="B288" s="216">
        <v>29.9</v>
      </c>
      <c r="C288" s="79">
        <f t="shared" si="4"/>
        <v>29.1</v>
      </c>
      <c r="D288" s="174">
        <v>0.262792642140468</v>
      </c>
      <c r="E288" s="179">
        <v>0.0262792642140468</v>
      </c>
      <c r="F288" s="179">
        <v>0.0262792642140468</v>
      </c>
      <c r="G288" s="180">
        <v>0.0281070234113712</v>
      </c>
    </row>
    <row r="289" spans="1:7">
      <c r="A289" s="215" t="s">
        <v>191</v>
      </c>
      <c r="B289" s="216">
        <v>30.6</v>
      </c>
      <c r="C289" s="79">
        <f t="shared" si="4"/>
        <v>29.9</v>
      </c>
      <c r="D289" s="174">
        <v>0.279656862745098</v>
      </c>
      <c r="E289" s="179">
        <v>0.0279656862745098</v>
      </c>
      <c r="F289" s="179">
        <v>0.0279656862745098</v>
      </c>
      <c r="G289" s="180">
        <v>0.0297516339869281</v>
      </c>
    </row>
    <row r="290" spans="1:7">
      <c r="A290" s="215" t="s">
        <v>192</v>
      </c>
      <c r="B290" s="216">
        <v>31.3</v>
      </c>
      <c r="C290" s="79">
        <f t="shared" si="4"/>
        <v>30.6</v>
      </c>
      <c r="D290" s="174">
        <v>0.295766773162939</v>
      </c>
      <c r="E290" s="179">
        <v>0.0295766773162939</v>
      </c>
      <c r="F290" s="179">
        <v>0.0295766773162939</v>
      </c>
      <c r="G290" s="180">
        <v>0.0313226837060703</v>
      </c>
    </row>
    <row r="291" spans="1:7">
      <c r="A291" s="215" t="s">
        <v>193</v>
      </c>
      <c r="B291" s="216">
        <v>32.1</v>
      </c>
      <c r="C291" s="79">
        <f t="shared" si="4"/>
        <v>31.3</v>
      </c>
      <c r="D291" s="174">
        <v>0.313317757009346</v>
      </c>
      <c r="E291" s="179">
        <v>0.0313317757009346</v>
      </c>
      <c r="F291" s="179">
        <v>0.0313317757009346</v>
      </c>
      <c r="G291" s="180">
        <v>0.0330342679127726</v>
      </c>
    </row>
    <row r="292" spans="1:7">
      <c r="A292" s="215" t="s">
        <v>194</v>
      </c>
      <c r="B292" s="216">
        <v>32.8</v>
      </c>
      <c r="C292" s="79">
        <f t="shared" si="4"/>
        <v>32.1</v>
      </c>
      <c r="D292" s="174">
        <v>0.32797256097561</v>
      </c>
      <c r="E292" s="179">
        <v>0.032797256097561</v>
      </c>
      <c r="F292" s="179">
        <v>0.032797256097561</v>
      </c>
      <c r="G292" s="180">
        <v>0.0344634146341463</v>
      </c>
    </row>
    <row r="293" spans="1:7">
      <c r="A293" s="215" t="s">
        <v>195</v>
      </c>
      <c r="B293" s="216">
        <v>33.6</v>
      </c>
      <c r="C293" s="79">
        <f t="shared" si="4"/>
        <v>32.8</v>
      </c>
      <c r="D293" s="174">
        <v>0.343973214285714</v>
      </c>
      <c r="E293" s="179">
        <v>0.0343973214285714</v>
      </c>
      <c r="F293" s="179">
        <v>0.0343973214285714</v>
      </c>
      <c r="G293" s="180">
        <v>0.0360238095238095</v>
      </c>
    </row>
    <row r="294" spans="1:7">
      <c r="A294" s="215" t="s">
        <v>196</v>
      </c>
      <c r="B294" s="216">
        <v>34.5</v>
      </c>
      <c r="C294" s="79">
        <f t="shared" si="4"/>
        <v>33.6</v>
      </c>
      <c r="D294" s="174">
        <v>0.361086956521739</v>
      </c>
      <c r="E294" s="179">
        <v>0.0361086956521739</v>
      </c>
      <c r="F294" s="179">
        <v>0.0361086956521739</v>
      </c>
      <c r="G294" s="180">
        <v>0.0376927536231884</v>
      </c>
    </row>
    <row r="295" spans="1:7">
      <c r="A295" s="215" t="s">
        <v>197</v>
      </c>
      <c r="B295" s="216">
        <v>35.5</v>
      </c>
      <c r="C295" s="79">
        <f t="shared" si="4"/>
        <v>34.5</v>
      </c>
      <c r="D295" s="174">
        <v>0.379084507042254</v>
      </c>
      <c r="E295" s="179">
        <v>0.0379084507042254</v>
      </c>
      <c r="F295" s="179">
        <v>0.0379084507042254</v>
      </c>
      <c r="G295" s="180">
        <v>0.0394478873239436</v>
      </c>
    </row>
    <row r="296" spans="1:7">
      <c r="A296" s="215" t="s">
        <v>198</v>
      </c>
      <c r="B296" s="216">
        <v>36.4</v>
      </c>
      <c r="C296" s="79">
        <f t="shared" si="4"/>
        <v>35.5</v>
      </c>
      <c r="D296" s="174">
        <v>0.394436813186813</v>
      </c>
      <c r="E296" s="179">
        <v>0.0394436813186813</v>
      </c>
      <c r="F296" s="179">
        <v>0.0394436813186813</v>
      </c>
      <c r="G296" s="180">
        <v>0.0456703296703296</v>
      </c>
    </row>
    <row r="297" spans="1:7">
      <c r="A297" s="215" t="s">
        <v>199</v>
      </c>
      <c r="B297" s="216">
        <v>37.5</v>
      </c>
      <c r="C297" s="79">
        <f t="shared" si="4"/>
        <v>36.4</v>
      </c>
      <c r="D297" s="174">
        <v>0.4122</v>
      </c>
      <c r="E297" s="179">
        <v>0.04732</v>
      </c>
      <c r="F297" s="179">
        <v>0.04732</v>
      </c>
      <c r="G297" s="180">
        <v>0.0560639999999999</v>
      </c>
    </row>
    <row r="298" spans="1:7">
      <c r="A298" s="215" t="s">
        <v>200</v>
      </c>
      <c r="B298" s="216">
        <v>38.3</v>
      </c>
      <c r="C298" s="79">
        <f t="shared" si="4"/>
        <v>37.5</v>
      </c>
      <c r="D298" s="174">
        <v>0.424477806788512</v>
      </c>
      <c r="E298" s="179">
        <v>0.0546866840731071</v>
      </c>
      <c r="F298" s="179">
        <v>0.0546866840731071</v>
      </c>
      <c r="G298" s="180">
        <v>0.0632480417754568</v>
      </c>
    </row>
    <row r="299" spans="1:7">
      <c r="A299" s="215" t="s">
        <v>201</v>
      </c>
      <c r="B299" s="216">
        <v>39.2</v>
      </c>
      <c r="C299" s="79">
        <f t="shared" si="4"/>
        <v>38.3</v>
      </c>
      <c r="D299" s="174">
        <v>0.437691326530612</v>
      </c>
      <c r="E299" s="179">
        <v>0.0626147959183674</v>
      </c>
      <c r="F299" s="179">
        <v>0.0626147959183674</v>
      </c>
      <c r="G299" s="180">
        <v>0.0709795918367346</v>
      </c>
    </row>
    <row r="300" spans="1:7">
      <c r="A300" s="215" t="s">
        <v>202</v>
      </c>
      <c r="B300" s="216">
        <v>40.2</v>
      </c>
      <c r="C300" s="79">
        <f t="shared" si="4"/>
        <v>39.2</v>
      </c>
      <c r="D300" s="174">
        <v>0.451679104477612</v>
      </c>
      <c r="E300" s="179">
        <v>0.0710074626865672</v>
      </c>
      <c r="F300" s="179">
        <v>0.0710074626865672</v>
      </c>
      <c r="G300" s="180">
        <v>0.0791641791044776</v>
      </c>
    </row>
    <row r="301" spans="1:7">
      <c r="A301" s="215" t="s">
        <v>203</v>
      </c>
      <c r="B301" s="216">
        <v>41.4</v>
      </c>
      <c r="C301" s="79">
        <f t="shared" si="4"/>
        <v>40.2</v>
      </c>
      <c r="D301" s="174">
        <v>0.467572463768116</v>
      </c>
      <c r="E301" s="179">
        <v>0.0805434782608696</v>
      </c>
      <c r="F301" s="179">
        <v>0.0805434782608696</v>
      </c>
      <c r="G301" s="180">
        <v>0.0884637681159419</v>
      </c>
    </row>
    <row r="302" spans="1:7">
      <c r="A302" s="215" t="s">
        <v>204</v>
      </c>
      <c r="B302" s="216">
        <v>42.5</v>
      </c>
      <c r="C302" s="79">
        <f t="shared" si="4"/>
        <v>41.4</v>
      </c>
      <c r="D302" s="174">
        <v>0.481352941176471</v>
      </c>
      <c r="E302" s="179">
        <v>0.0888117647058824</v>
      </c>
      <c r="F302" s="179">
        <v>0.0888117647058824</v>
      </c>
      <c r="G302" s="180">
        <v>0.0965270588235294</v>
      </c>
    </row>
    <row r="303" spans="1:7">
      <c r="A303" s="215" t="s">
        <v>205</v>
      </c>
      <c r="B303" s="216">
        <v>43.5</v>
      </c>
      <c r="C303" s="79">
        <f t="shared" si="4"/>
        <v>42.5</v>
      </c>
      <c r="D303" s="174">
        <v>0.493275862068966</v>
      </c>
      <c r="E303" s="179">
        <v>0.0959655172413793</v>
      </c>
      <c r="F303" s="179">
        <v>0.0959655172413793</v>
      </c>
      <c r="G303" s="180">
        <v>0.103503448275862</v>
      </c>
    </row>
    <row r="304" spans="1:7">
      <c r="A304" s="215" t="s">
        <v>206</v>
      </c>
      <c r="B304" s="216">
        <v>44.5</v>
      </c>
      <c r="C304" s="79">
        <f t="shared" si="4"/>
        <v>43.5</v>
      </c>
      <c r="D304" s="174">
        <v>0.504662921348315</v>
      </c>
      <c r="E304" s="179">
        <v>0.102797752808989</v>
      </c>
      <c r="F304" s="179">
        <v>0.102797752808989</v>
      </c>
      <c r="G304" s="180">
        <v>0.110166292134831</v>
      </c>
    </row>
    <row r="305" spans="1:7">
      <c r="A305" s="215" t="s">
        <v>207</v>
      </c>
      <c r="B305" s="216">
        <v>45.6</v>
      </c>
      <c r="C305" s="79">
        <f t="shared" si="4"/>
        <v>44.5</v>
      </c>
      <c r="D305" s="174">
        <v>0.516611842105263</v>
      </c>
      <c r="E305" s="179">
        <v>0.109967105263158</v>
      </c>
      <c r="F305" s="179">
        <v>0.109967105263158</v>
      </c>
      <c r="G305" s="180">
        <v>0.117157894736842</v>
      </c>
    </row>
    <row r="306" spans="1:7">
      <c r="A306" s="215" t="s">
        <v>208</v>
      </c>
      <c r="B306" s="216">
        <v>46.8</v>
      </c>
      <c r="C306" s="79">
        <f t="shared" si="4"/>
        <v>45.6</v>
      </c>
      <c r="D306" s="174">
        <v>0.52900641025641</v>
      </c>
      <c r="E306" s="179">
        <v>0.117403846153846</v>
      </c>
      <c r="F306" s="179">
        <v>0.117403846153846</v>
      </c>
      <c r="G306" s="180">
        <v>0.124410256410256</v>
      </c>
    </row>
    <row r="307" spans="1:7">
      <c r="A307" s="215" t="s">
        <v>209</v>
      </c>
      <c r="B307" s="216">
        <v>47.9</v>
      </c>
      <c r="C307" s="79">
        <f t="shared" si="4"/>
        <v>46.8</v>
      </c>
      <c r="D307" s="174">
        <v>0.53982254697286</v>
      </c>
      <c r="E307" s="179">
        <v>0.123893528183716</v>
      </c>
      <c r="F307" s="179">
        <v>0.123893528183716</v>
      </c>
      <c r="G307" s="180">
        <v>0.130739039665971</v>
      </c>
    </row>
    <row r="308" spans="1:7">
      <c r="A308" s="215" t="s">
        <v>210</v>
      </c>
      <c r="B308" s="216">
        <v>49.6</v>
      </c>
      <c r="C308" s="79">
        <f t="shared" si="4"/>
        <v>47.9</v>
      </c>
      <c r="D308" s="174">
        <v>0.555594758064516</v>
      </c>
      <c r="E308" s="179">
        <v>0.13335685483871</v>
      </c>
      <c r="F308" s="179">
        <v>0.13335685483871</v>
      </c>
      <c r="G308" s="180">
        <v>0.139967741935484</v>
      </c>
    </row>
    <row r="309" spans="1:7">
      <c r="A309" s="215" t="s">
        <v>211</v>
      </c>
      <c r="B309" s="216">
        <v>51.5</v>
      </c>
      <c r="C309" s="79">
        <f t="shared" si="4"/>
        <v>49.6</v>
      </c>
      <c r="D309" s="174">
        <v>0.571990291262136</v>
      </c>
      <c r="E309" s="179">
        <v>0.143194174757282</v>
      </c>
      <c r="F309" s="179">
        <v>0.143194174757282</v>
      </c>
      <c r="G309" s="180">
        <v>0.149561165048544</v>
      </c>
    </row>
    <row r="310" spans="1:7">
      <c r="A310" s="215" t="s">
        <v>212</v>
      </c>
      <c r="B310" s="216">
        <v>53.6</v>
      </c>
      <c r="C310" s="79">
        <f t="shared" si="4"/>
        <v>51.5</v>
      </c>
      <c r="D310" s="174">
        <v>0.588759328358209</v>
      </c>
      <c r="E310" s="179">
        <v>0.153255597014925</v>
      </c>
      <c r="F310" s="179">
        <v>0.153255597014925</v>
      </c>
      <c r="G310" s="180">
        <v>0.159373134328358</v>
      </c>
    </row>
    <row r="311" spans="1:7">
      <c r="A311" s="215" t="s">
        <v>213</v>
      </c>
      <c r="B311" s="216">
        <v>56.1</v>
      </c>
      <c r="C311" s="79">
        <f t="shared" si="4"/>
        <v>53.6</v>
      </c>
      <c r="D311" s="174">
        <v>0.607085561497326</v>
      </c>
      <c r="E311" s="179">
        <v>0.164251336898396</v>
      </c>
      <c r="F311" s="179">
        <v>0.164251336898396</v>
      </c>
      <c r="G311" s="180">
        <v>0.170096256684492</v>
      </c>
    </row>
    <row r="312" spans="1:7">
      <c r="A312" s="215" t="s">
        <v>214</v>
      </c>
      <c r="B312" s="216">
        <v>58.8</v>
      </c>
      <c r="C312" s="79">
        <f t="shared" si="4"/>
        <v>56.1</v>
      </c>
      <c r="D312" s="174">
        <v>0.625127551020408</v>
      </c>
      <c r="E312" s="179">
        <v>0.175076530612245</v>
      </c>
      <c r="F312" s="179">
        <v>0.175076530612245</v>
      </c>
      <c r="G312" s="180">
        <v>0.18065306122449</v>
      </c>
    </row>
    <row r="313" spans="1:7">
      <c r="A313" s="215" t="s">
        <v>215</v>
      </c>
      <c r="B313" s="216">
        <v>61.8</v>
      </c>
      <c r="C313" s="79">
        <f t="shared" si="4"/>
        <v>58.8</v>
      </c>
      <c r="D313" s="174">
        <v>0.643325242718447</v>
      </c>
      <c r="E313" s="179">
        <v>0.185995145631068</v>
      </c>
      <c r="F313" s="179">
        <v>0.185995145631068</v>
      </c>
      <c r="G313" s="180">
        <v>0.191300970873786</v>
      </c>
    </row>
    <row r="314" spans="1:7">
      <c r="A314" s="215" t="s">
        <v>216</v>
      </c>
      <c r="B314" s="216">
        <v>65.7</v>
      </c>
      <c r="C314" s="79">
        <f t="shared" si="4"/>
        <v>61.8</v>
      </c>
      <c r="D314" s="174">
        <v>0.664497716894977</v>
      </c>
      <c r="E314" s="179">
        <v>0.198698630136986</v>
      </c>
      <c r="F314" s="179">
        <v>0.198698630136986</v>
      </c>
      <c r="G314" s="180">
        <v>0.203689497716895</v>
      </c>
    </row>
    <row r="315" spans="1:7">
      <c r="A315" s="215" t="s">
        <v>217</v>
      </c>
      <c r="B315" s="216">
        <v>70.2</v>
      </c>
      <c r="C315" s="79">
        <f t="shared" si="4"/>
        <v>65.7</v>
      </c>
      <c r="D315" s="174">
        <v>0.686004273504274</v>
      </c>
      <c r="E315" s="179">
        <v>0.211602564102564</v>
      </c>
      <c r="F315" s="179">
        <v>0.211602564102564</v>
      </c>
      <c r="G315" s="180">
        <v>0.216273504273504</v>
      </c>
    </row>
    <row r="316" spans="1:7">
      <c r="A316" s="215" t="s">
        <v>218</v>
      </c>
      <c r="B316" s="216">
        <v>79</v>
      </c>
      <c r="C316" s="79">
        <f t="shared" si="4"/>
        <v>70.2</v>
      </c>
      <c r="D316" s="174">
        <v>0.720981012658228</v>
      </c>
      <c r="E316" s="179">
        <v>0.232588607594937</v>
      </c>
      <c r="F316" s="179">
        <v>0.232588607594937</v>
      </c>
      <c r="G316" s="180">
        <v>0.236739240506329</v>
      </c>
    </row>
    <row r="317" spans="1:7">
      <c r="A317" s="215" t="s">
        <v>219</v>
      </c>
      <c r="B317" s="216">
        <v>90.9</v>
      </c>
      <c r="C317" s="79">
        <f t="shared" si="4"/>
        <v>79</v>
      </c>
      <c r="D317" s="174">
        <v>0.757508250825083</v>
      </c>
      <c r="E317" s="179">
        <v>0.25450495049505</v>
      </c>
      <c r="F317" s="179">
        <v>0.25450495049505</v>
      </c>
      <c r="G317" s="180">
        <v>0.258112211221122</v>
      </c>
    </row>
    <row r="318" spans="1:7">
      <c r="A318" s="215" t="s">
        <v>220</v>
      </c>
      <c r="B318" s="216">
        <v>122</v>
      </c>
      <c r="C318" s="79">
        <f t="shared" si="4"/>
        <v>90.9</v>
      </c>
      <c r="D318" s="174">
        <v>0.819323770491803</v>
      </c>
      <c r="E318" s="179">
        <v>0.291594262295082</v>
      </c>
      <c r="F318" s="179">
        <v>0.291594262295082</v>
      </c>
      <c r="G318" s="180">
        <v>0.294281967213115</v>
      </c>
    </row>
    <row r="319" spans="1:7">
      <c r="A319" s="215" t="s">
        <v>221</v>
      </c>
      <c r="B319" s="216">
        <v>296.6</v>
      </c>
      <c r="C319" s="79">
        <f t="shared" si="4"/>
        <v>122</v>
      </c>
      <c r="D319" s="174">
        <v>0.925682737693864</v>
      </c>
      <c r="E319" s="179">
        <v>0.355409642616318</v>
      </c>
      <c r="F319" s="179">
        <v>0.355409642616318</v>
      </c>
      <c r="G319" s="180">
        <v>0.356515171948753</v>
      </c>
    </row>
    <row r="320" ht="15.75" spans="1:7">
      <c r="A320" s="217" t="s">
        <v>221</v>
      </c>
      <c r="B320" s="218" t="s">
        <v>414</v>
      </c>
      <c r="C320" s="79">
        <f t="shared" si="4"/>
        <v>296.6</v>
      </c>
      <c r="D320" s="184"/>
      <c r="E320" s="184"/>
      <c r="F320" s="184"/>
      <c r="G320" s="185"/>
    </row>
    <row r="321" ht="15.75" spans="1:7">
      <c r="A321" s="186"/>
      <c r="B321" s="219">
        <v>36.8</v>
      </c>
      <c r="D321" s="220"/>
      <c r="E321" s="221">
        <v>0.0774639787790464</v>
      </c>
      <c r="F321" s="221">
        <v>0.0774639787790464</v>
      </c>
      <c r="G321" s="222">
        <v>0.081079690721618</v>
      </c>
    </row>
    <row r="322" ht="51" spans="1:7">
      <c r="A322" s="191" t="s">
        <v>233</v>
      </c>
      <c r="B322" s="192"/>
      <c r="D322" s="193"/>
      <c r="E322" s="194">
        <v>36.7375</v>
      </c>
      <c r="F322" s="195">
        <v>36.7375</v>
      </c>
      <c r="G322" s="196">
        <v>35.8266666666667</v>
      </c>
    </row>
    <row r="323" ht="53.25" customHeight="1" spans="1:7">
      <c r="A323" s="197" t="s">
        <v>224</v>
      </c>
      <c r="B323" s="198">
        <v>43.6</v>
      </c>
      <c r="D323" s="199"/>
      <c r="E323" s="200"/>
      <c r="F323" s="200"/>
      <c r="G323" s="201"/>
    </row>
    <row r="324" ht="78" customHeight="1" spans="1:7">
      <c r="A324" s="202" t="s">
        <v>225</v>
      </c>
      <c r="B324" s="203">
        <v>26.2</v>
      </c>
      <c r="D324" s="184"/>
      <c r="E324" s="183">
        <v>22.0425</v>
      </c>
      <c r="F324" s="183">
        <v>22.0425</v>
      </c>
      <c r="G324" s="204">
        <v>21.496</v>
      </c>
    </row>
    <row r="325" ht="15.75"/>
    <row r="326" ht="51.75" spans="1:2">
      <c r="A326" s="205" t="s">
        <v>224</v>
      </c>
      <c r="B326" s="166">
        <f>B323</f>
        <v>43.6</v>
      </c>
    </row>
    <row r="327" spans="1:2">
      <c r="A327" s="542" t="s">
        <v>226</v>
      </c>
      <c r="B327" s="207">
        <f>AVERAGE(B275:B314)</f>
        <v>36.7375</v>
      </c>
    </row>
    <row r="328" spans="1:2">
      <c r="A328" s="543" t="s">
        <v>227</v>
      </c>
      <c r="B328" s="209">
        <f>AVERAGE(B280:B309)</f>
        <v>35.8266666666667</v>
      </c>
    </row>
    <row r="329" ht="15.75" spans="1:2">
      <c r="A329" s="544" t="s">
        <v>228</v>
      </c>
      <c r="B329" s="211">
        <f>AVERAGE(B286:B304)</f>
        <v>35.8578947368421</v>
      </c>
    </row>
    <row r="332" ht="15.75"/>
    <row r="333" customHeight="1" spans="1:7">
      <c r="A333" s="155" t="s">
        <v>165</v>
      </c>
      <c r="B333" s="156" t="s">
        <v>37</v>
      </c>
      <c r="C333" s="157"/>
      <c r="D333" s="158"/>
      <c r="E333" s="159">
        <f>(1-E388)^(1/3)-1</f>
        <v>-0.0290143615633912</v>
      </c>
      <c r="F333" s="160">
        <f>(1-F388)^(1/3)-1</f>
        <v>-0.0290143615633912</v>
      </c>
      <c r="G333" s="161"/>
    </row>
    <row r="334" ht="77.25" spans="1:7">
      <c r="A334" s="162"/>
      <c r="B334" s="130" t="s">
        <v>167</v>
      </c>
      <c r="D334" s="130" t="s">
        <v>168</v>
      </c>
      <c r="E334" s="130" t="s">
        <v>169</v>
      </c>
      <c r="F334" s="130" t="s">
        <v>169</v>
      </c>
      <c r="G334" s="130"/>
    </row>
    <row r="335" ht="26.25" spans="1:7">
      <c r="A335" s="163"/>
      <c r="B335" s="164" t="s">
        <v>407</v>
      </c>
      <c r="D335" s="164" t="s">
        <v>171</v>
      </c>
      <c r="E335" s="538" t="s">
        <v>401</v>
      </c>
      <c r="F335" s="539" t="s">
        <v>402</v>
      </c>
      <c r="G335" s="166"/>
    </row>
    <row r="336" ht="15.75" spans="1:7">
      <c r="A336" s="167">
        <v>1</v>
      </c>
      <c r="B336" s="212">
        <v>2</v>
      </c>
      <c r="C336" s="131"/>
      <c r="D336" s="131">
        <v>3</v>
      </c>
      <c r="E336" s="169">
        <v>4</v>
      </c>
      <c r="F336" s="131">
        <v>5</v>
      </c>
      <c r="G336" s="169"/>
    </row>
    <row r="337" spans="1:7">
      <c r="A337" s="545" t="s">
        <v>172</v>
      </c>
      <c r="B337" s="214">
        <v>26.9</v>
      </c>
      <c r="C337">
        <v>0</v>
      </c>
      <c r="D337" s="174">
        <v>0</v>
      </c>
      <c r="E337" s="175">
        <v>0</v>
      </c>
      <c r="F337" s="175">
        <v>0</v>
      </c>
      <c r="G337" s="176">
        <v>0</v>
      </c>
    </row>
    <row r="338" spans="1:7">
      <c r="A338" s="546" t="s">
        <v>173</v>
      </c>
      <c r="B338" s="216">
        <v>38.7</v>
      </c>
      <c r="C338" s="79">
        <f>B337</f>
        <v>26.9</v>
      </c>
      <c r="D338" s="174">
        <v>0</v>
      </c>
      <c r="E338" s="179">
        <v>0</v>
      </c>
      <c r="F338" s="179">
        <v>0</v>
      </c>
      <c r="G338" s="180">
        <v>0</v>
      </c>
    </row>
    <row r="339" spans="1:7">
      <c r="A339" s="546" t="s">
        <v>174</v>
      </c>
      <c r="B339" s="216">
        <v>50.2</v>
      </c>
      <c r="C339" s="79">
        <f t="shared" ref="C339:C387" si="5">B338</f>
        <v>38.7</v>
      </c>
      <c r="D339" s="174">
        <v>0</v>
      </c>
      <c r="E339" s="179">
        <v>0</v>
      </c>
      <c r="F339" s="179">
        <v>0</v>
      </c>
      <c r="G339" s="180">
        <v>0</v>
      </c>
    </row>
    <row r="340" spans="1:7">
      <c r="A340" s="546" t="s">
        <v>175</v>
      </c>
      <c r="B340" s="216">
        <v>60.9</v>
      </c>
      <c r="C340" s="79">
        <f t="shared" si="5"/>
        <v>50.2</v>
      </c>
      <c r="D340" s="174">
        <v>0</v>
      </c>
      <c r="E340" s="179">
        <v>0</v>
      </c>
      <c r="F340" s="179">
        <v>0</v>
      </c>
      <c r="G340" s="180">
        <v>0</v>
      </c>
    </row>
    <row r="341" spans="1:7">
      <c r="A341" s="546" t="s">
        <v>176</v>
      </c>
      <c r="B341" s="216">
        <v>69.2</v>
      </c>
      <c r="C341" s="79">
        <f t="shared" si="5"/>
        <v>60.9</v>
      </c>
      <c r="D341" s="174">
        <v>0</v>
      </c>
      <c r="E341" s="179">
        <v>0</v>
      </c>
      <c r="F341" s="179">
        <v>0</v>
      </c>
      <c r="G341" s="180">
        <v>0</v>
      </c>
    </row>
    <row r="342" spans="1:7">
      <c r="A342" s="546" t="s">
        <v>177</v>
      </c>
      <c r="B342" s="216">
        <v>76.2</v>
      </c>
      <c r="C342" s="79">
        <f t="shared" si="5"/>
        <v>69.2</v>
      </c>
      <c r="D342" s="174">
        <v>0</v>
      </c>
      <c r="E342" s="179">
        <v>0</v>
      </c>
      <c r="F342" s="179">
        <v>0</v>
      </c>
      <c r="G342" s="180">
        <v>0</v>
      </c>
    </row>
    <row r="343" spans="1:7">
      <c r="A343" s="546" t="s">
        <v>178</v>
      </c>
      <c r="B343" s="216">
        <v>84.5</v>
      </c>
      <c r="C343" s="79">
        <f t="shared" si="5"/>
        <v>76.2</v>
      </c>
      <c r="D343" s="174">
        <v>0</v>
      </c>
      <c r="E343" s="179">
        <v>0</v>
      </c>
      <c r="F343" s="179">
        <v>0</v>
      </c>
      <c r="G343" s="180">
        <v>0</v>
      </c>
    </row>
    <row r="344" spans="1:7">
      <c r="A344" s="215" t="s">
        <v>179</v>
      </c>
      <c r="B344" s="216">
        <v>90.9</v>
      </c>
      <c r="C344" s="79">
        <f t="shared" si="5"/>
        <v>84.5</v>
      </c>
      <c r="D344" s="174">
        <v>0</v>
      </c>
      <c r="E344" s="179">
        <v>0</v>
      </c>
      <c r="F344" s="179">
        <v>0</v>
      </c>
      <c r="G344" s="180">
        <v>0</v>
      </c>
    </row>
    <row r="345" spans="1:7">
      <c r="A345" s="215" t="s">
        <v>180</v>
      </c>
      <c r="B345" s="216">
        <v>97.4</v>
      </c>
      <c r="C345" s="79">
        <f t="shared" si="5"/>
        <v>90.9</v>
      </c>
      <c r="D345" s="174">
        <v>0</v>
      </c>
      <c r="E345" s="179">
        <v>0</v>
      </c>
      <c r="F345" s="179">
        <v>0</v>
      </c>
      <c r="G345" s="180">
        <v>0</v>
      </c>
    </row>
    <row r="346" spans="1:7">
      <c r="A346" s="215" t="s">
        <v>181</v>
      </c>
      <c r="B346" s="216">
        <v>103.3</v>
      </c>
      <c r="C346" s="79">
        <f t="shared" si="5"/>
        <v>97.4</v>
      </c>
      <c r="D346" s="174">
        <v>0</v>
      </c>
      <c r="E346" s="179">
        <v>0</v>
      </c>
      <c r="F346" s="179">
        <v>0</v>
      </c>
      <c r="G346" s="180">
        <v>0</v>
      </c>
    </row>
    <row r="347" spans="1:7">
      <c r="A347" s="215" t="s">
        <v>182</v>
      </c>
      <c r="B347" s="216">
        <v>109.4</v>
      </c>
      <c r="C347" s="79">
        <f t="shared" si="5"/>
        <v>103.3</v>
      </c>
      <c r="D347" s="174">
        <v>0</v>
      </c>
      <c r="E347" s="179">
        <v>0</v>
      </c>
      <c r="F347" s="179">
        <v>0</v>
      </c>
      <c r="G347" s="180">
        <v>0</v>
      </c>
    </row>
    <row r="348" spans="1:7">
      <c r="A348" s="215" t="s">
        <v>183</v>
      </c>
      <c r="B348" s="216">
        <v>115.7</v>
      </c>
      <c r="C348" s="79">
        <f t="shared" si="5"/>
        <v>109.4</v>
      </c>
      <c r="D348" s="174">
        <v>0</v>
      </c>
      <c r="E348" s="179">
        <v>0</v>
      </c>
      <c r="F348" s="179">
        <v>0</v>
      </c>
      <c r="G348" s="180">
        <v>0</v>
      </c>
    </row>
    <row r="349" spans="1:7">
      <c r="A349" s="215" t="s">
        <v>184</v>
      </c>
      <c r="B349" s="216">
        <v>122.7</v>
      </c>
      <c r="C349" s="79">
        <f t="shared" si="5"/>
        <v>115.7</v>
      </c>
      <c r="D349" s="174">
        <v>0</v>
      </c>
      <c r="E349" s="179">
        <v>0</v>
      </c>
      <c r="F349" s="179">
        <v>0</v>
      </c>
      <c r="G349" s="180">
        <v>0</v>
      </c>
    </row>
    <row r="350" spans="1:7">
      <c r="A350" s="215" t="s">
        <v>185</v>
      </c>
      <c r="B350" s="216">
        <v>129.6</v>
      </c>
      <c r="C350" s="79">
        <f t="shared" si="5"/>
        <v>122.7</v>
      </c>
      <c r="D350" s="174">
        <v>0</v>
      </c>
      <c r="E350" s="179">
        <v>0</v>
      </c>
      <c r="F350" s="179">
        <v>0</v>
      </c>
      <c r="G350" s="180">
        <v>0</v>
      </c>
    </row>
    <row r="351" spans="1:7">
      <c r="A351" s="215" t="s">
        <v>186</v>
      </c>
      <c r="B351" s="216">
        <v>136.2</v>
      </c>
      <c r="C351" s="79">
        <f t="shared" si="5"/>
        <v>129.6</v>
      </c>
      <c r="D351" s="174">
        <v>0</v>
      </c>
      <c r="E351" s="179">
        <v>0</v>
      </c>
      <c r="F351" s="179">
        <v>0</v>
      </c>
      <c r="G351" s="180">
        <v>0</v>
      </c>
    </row>
    <row r="352" spans="1:7">
      <c r="A352" s="215" t="s">
        <v>187</v>
      </c>
      <c r="B352" s="216">
        <v>142.5</v>
      </c>
      <c r="C352" s="79">
        <f t="shared" si="5"/>
        <v>136.2</v>
      </c>
      <c r="D352" s="174">
        <v>0</v>
      </c>
      <c r="E352" s="179">
        <v>0</v>
      </c>
      <c r="F352" s="179">
        <v>0</v>
      </c>
      <c r="G352" s="180">
        <v>0</v>
      </c>
    </row>
    <row r="353" spans="1:7">
      <c r="A353" s="215" t="s">
        <v>188</v>
      </c>
      <c r="B353" s="216">
        <v>150</v>
      </c>
      <c r="C353" s="79">
        <f t="shared" si="5"/>
        <v>142.5</v>
      </c>
      <c r="D353" s="174">
        <v>0</v>
      </c>
      <c r="E353" s="179">
        <v>0</v>
      </c>
      <c r="F353" s="179">
        <v>0</v>
      </c>
      <c r="G353" s="180">
        <v>0.00388266666666666</v>
      </c>
    </row>
    <row r="354" spans="1:7">
      <c r="A354" s="215" t="s">
        <v>189</v>
      </c>
      <c r="B354" s="216">
        <v>158.6</v>
      </c>
      <c r="C354" s="79">
        <f t="shared" si="5"/>
        <v>150</v>
      </c>
      <c r="D354" s="174">
        <v>0.0130170239596468</v>
      </c>
      <c r="E354" s="179"/>
      <c r="F354" s="179">
        <v>0.00130170239596468</v>
      </c>
      <c r="G354" s="180">
        <v>0.00909457755359393</v>
      </c>
    </row>
    <row r="355" spans="1:7">
      <c r="A355" s="215" t="s">
        <v>190</v>
      </c>
      <c r="B355" s="216">
        <v>166.4</v>
      </c>
      <c r="C355" s="79">
        <f t="shared" si="5"/>
        <v>158.6</v>
      </c>
      <c r="D355" s="174">
        <v>0.0592818509615384</v>
      </c>
      <c r="E355" s="179"/>
      <c r="F355" s="179">
        <v>0.00592818509615384</v>
      </c>
      <c r="G355" s="180">
        <v>0.0133557692307692</v>
      </c>
    </row>
    <row r="356" spans="1:7">
      <c r="A356" s="215" t="s">
        <v>191</v>
      </c>
      <c r="B356" s="216">
        <v>177</v>
      </c>
      <c r="C356" s="79">
        <f t="shared" si="5"/>
        <v>166.4</v>
      </c>
      <c r="D356" s="174">
        <v>0.115618644067797</v>
      </c>
      <c r="E356" s="179">
        <v>0.0115618644067797</v>
      </c>
      <c r="F356" s="179">
        <v>0.0115618644067797</v>
      </c>
      <c r="G356" s="180">
        <v>0.0185446327683616</v>
      </c>
    </row>
    <row r="357" spans="1:7">
      <c r="A357" s="215" t="s">
        <v>192</v>
      </c>
      <c r="B357" s="216">
        <v>184.5</v>
      </c>
      <c r="C357" s="79">
        <f t="shared" si="5"/>
        <v>177</v>
      </c>
      <c r="D357" s="174">
        <v>0.151569105691057</v>
      </c>
      <c r="E357" s="179">
        <v>0.0151569105691057</v>
      </c>
      <c r="F357" s="179">
        <v>0.0151569105691057</v>
      </c>
      <c r="G357" s="180">
        <v>0.0218558265582656</v>
      </c>
    </row>
    <row r="358" spans="1:7">
      <c r="A358" s="215" t="s">
        <v>193</v>
      </c>
      <c r="B358" s="216">
        <v>194.1</v>
      </c>
      <c r="C358" s="79">
        <f t="shared" si="5"/>
        <v>184.5</v>
      </c>
      <c r="D358" s="174">
        <v>0.193531684698609</v>
      </c>
      <c r="E358" s="179">
        <v>0.0193531684698609</v>
      </c>
      <c r="F358" s="179">
        <v>0.0193531684698609</v>
      </c>
      <c r="G358" s="180">
        <v>0.02572076249356</v>
      </c>
    </row>
    <row r="359" spans="1:7">
      <c r="A359" s="215" t="s">
        <v>194</v>
      </c>
      <c r="B359" s="216">
        <v>204.3</v>
      </c>
      <c r="C359" s="79">
        <f t="shared" si="5"/>
        <v>194.1</v>
      </c>
      <c r="D359" s="174">
        <v>0.233795888399413</v>
      </c>
      <c r="E359" s="179">
        <v>0.0233795888399413</v>
      </c>
      <c r="F359" s="179">
        <v>0.0233795888399413</v>
      </c>
      <c r="G359" s="180">
        <v>0.029429270680372</v>
      </c>
    </row>
    <row r="360" spans="1:7">
      <c r="A360" s="215" t="s">
        <v>195</v>
      </c>
      <c r="B360" s="216">
        <v>211.7</v>
      </c>
      <c r="C360" s="79">
        <f t="shared" si="5"/>
        <v>204.3</v>
      </c>
      <c r="D360" s="174">
        <v>0.260578649031648</v>
      </c>
      <c r="E360" s="179">
        <v>0.0260578649031648</v>
      </c>
      <c r="F360" s="179">
        <v>0.0260578649031648</v>
      </c>
      <c r="G360" s="180">
        <v>0.0318960793575815</v>
      </c>
    </row>
    <row r="361" spans="1:7">
      <c r="A361" s="215" t="s">
        <v>196</v>
      </c>
      <c r="B361" s="216">
        <v>219.8</v>
      </c>
      <c r="C361" s="79">
        <f t="shared" si="5"/>
        <v>211.7</v>
      </c>
      <c r="D361" s="174">
        <v>0.287827570518653</v>
      </c>
      <c r="E361" s="179">
        <v>0.0287827570518653</v>
      </c>
      <c r="F361" s="179">
        <v>0.0287827570518653</v>
      </c>
      <c r="G361" s="180">
        <v>0.0344058234758872</v>
      </c>
    </row>
    <row r="362" spans="1:7">
      <c r="A362" s="215" t="s">
        <v>197</v>
      </c>
      <c r="B362" s="216">
        <v>230</v>
      </c>
      <c r="C362" s="79">
        <f t="shared" si="5"/>
        <v>219.8</v>
      </c>
      <c r="D362" s="174">
        <v>0.319410869565217</v>
      </c>
      <c r="E362" s="179">
        <v>0.0319410869565217</v>
      </c>
      <c r="F362" s="179">
        <v>0.0319410869565217</v>
      </c>
      <c r="G362" s="180">
        <v>0.0373147826086956</v>
      </c>
    </row>
    <row r="363" spans="1:7">
      <c r="A363" s="215" t="s">
        <v>198</v>
      </c>
      <c r="B363" s="216">
        <v>240.1</v>
      </c>
      <c r="C363" s="79">
        <f t="shared" si="5"/>
        <v>230</v>
      </c>
      <c r="D363" s="174">
        <v>0.348040399833403</v>
      </c>
      <c r="E363" s="179">
        <v>0.0348040399833403</v>
      </c>
      <c r="F363" s="179">
        <v>0.0348040399833403</v>
      </c>
      <c r="G363" s="180">
        <v>0.0399516867971678</v>
      </c>
    </row>
    <row r="364" spans="1:7">
      <c r="A364" s="215" t="s">
        <v>199</v>
      </c>
      <c r="B364" s="216">
        <v>251.2</v>
      </c>
      <c r="C364" s="79">
        <f t="shared" si="5"/>
        <v>240.1</v>
      </c>
      <c r="D364" s="174">
        <v>0.376849124203822</v>
      </c>
      <c r="E364" s="179">
        <v>0.0376849124203822</v>
      </c>
      <c r="F364" s="179">
        <v>0.0376849124203822</v>
      </c>
      <c r="G364" s="180">
        <v>0.0556305732484076</v>
      </c>
    </row>
    <row r="365" spans="1:7">
      <c r="A365" s="215" t="s">
        <v>200</v>
      </c>
      <c r="B365" s="216">
        <v>260.9</v>
      </c>
      <c r="C365" s="79">
        <f t="shared" si="5"/>
        <v>251.2</v>
      </c>
      <c r="D365" s="174">
        <v>0.400017247987735</v>
      </c>
      <c r="E365" s="179">
        <v>0.0400103487926408</v>
      </c>
      <c r="F365" s="179">
        <v>0.0400103487926408</v>
      </c>
      <c r="G365" s="180">
        <v>0.0684338827136833</v>
      </c>
    </row>
    <row r="366" spans="1:7">
      <c r="A366" s="215" t="s">
        <v>201</v>
      </c>
      <c r="B366" s="216">
        <v>270.3</v>
      </c>
      <c r="C366" s="79">
        <f t="shared" si="5"/>
        <v>260.9</v>
      </c>
      <c r="D366" s="174">
        <v>0.420882352941176</v>
      </c>
      <c r="E366" s="179">
        <v>0.0525294117647059</v>
      </c>
      <c r="F366" s="179">
        <v>0.0525294117647059</v>
      </c>
      <c r="G366" s="180">
        <v>0.0799644839067702</v>
      </c>
    </row>
    <row r="367" spans="1:7">
      <c r="A367" s="215" t="s">
        <v>202</v>
      </c>
      <c r="B367" s="216">
        <v>281.5</v>
      </c>
      <c r="C367" s="79">
        <f t="shared" si="5"/>
        <v>270.3</v>
      </c>
      <c r="D367" s="174">
        <v>0.443923623445826</v>
      </c>
      <c r="E367" s="179">
        <v>0.0663541740674955</v>
      </c>
      <c r="F367" s="179">
        <v>0.0663541740674955</v>
      </c>
      <c r="G367" s="180">
        <v>0.0926976909413854</v>
      </c>
    </row>
    <row r="368" spans="1:7">
      <c r="A368" s="215" t="s">
        <v>203</v>
      </c>
      <c r="B368" s="216">
        <v>292.1</v>
      </c>
      <c r="C368" s="79">
        <f t="shared" si="5"/>
        <v>281.5</v>
      </c>
      <c r="D368" s="174">
        <v>0.464103046901746</v>
      </c>
      <c r="E368" s="179">
        <v>0.0784618281410476</v>
      </c>
      <c r="F368" s="179">
        <v>0.0784618281410476</v>
      </c>
      <c r="G368" s="180">
        <v>0.103849366655255</v>
      </c>
    </row>
    <row r="369" spans="1:7">
      <c r="A369" s="215" t="s">
        <v>204</v>
      </c>
      <c r="B369" s="216">
        <v>306.7</v>
      </c>
      <c r="C369" s="79">
        <f t="shared" si="5"/>
        <v>292.1</v>
      </c>
      <c r="D369" s="174">
        <v>0.489613628953375</v>
      </c>
      <c r="E369" s="179">
        <v>0.0937681773720247</v>
      </c>
      <c r="F369" s="179">
        <v>0.0937681773720247</v>
      </c>
      <c r="G369" s="180">
        <v>0.117947179654385</v>
      </c>
    </row>
    <row r="370" spans="1:7">
      <c r="A370" s="215" t="s">
        <v>205</v>
      </c>
      <c r="B370" s="216">
        <v>320.7</v>
      </c>
      <c r="C370" s="79">
        <f t="shared" si="5"/>
        <v>306.7</v>
      </c>
      <c r="D370" s="174">
        <v>0.51189429373246</v>
      </c>
      <c r="E370" s="179">
        <v>0.107136576239476</v>
      </c>
      <c r="F370" s="179">
        <v>0.107136576239476</v>
      </c>
      <c r="G370" s="180">
        <v>0.130260056127222</v>
      </c>
    </row>
    <row r="371" spans="1:7">
      <c r="A371" s="215" t="s">
        <v>206</v>
      </c>
      <c r="B371" s="216">
        <v>337.5</v>
      </c>
      <c r="C371" s="79">
        <f t="shared" si="5"/>
        <v>320.7</v>
      </c>
      <c r="D371" s="174">
        <v>0.536191111111111</v>
      </c>
      <c r="E371" s="179">
        <v>0.121714666666667</v>
      </c>
      <c r="F371" s="179">
        <v>0.121714666666667</v>
      </c>
      <c r="G371" s="180">
        <v>0.143687111111111</v>
      </c>
    </row>
    <row r="372" spans="1:7">
      <c r="A372" s="215" t="s">
        <v>207</v>
      </c>
      <c r="B372" s="216">
        <v>357.7</v>
      </c>
      <c r="C372" s="79">
        <f t="shared" si="5"/>
        <v>337.5</v>
      </c>
      <c r="D372" s="174">
        <v>0.562383282079955</v>
      </c>
      <c r="E372" s="179">
        <v>0.137429969247973</v>
      </c>
      <c r="F372" s="179">
        <v>0.137429969247973</v>
      </c>
      <c r="G372" s="180">
        <v>0.15816158792284</v>
      </c>
    </row>
    <row r="373" spans="1:7">
      <c r="A373" s="215" t="s">
        <v>208</v>
      </c>
      <c r="B373" s="216">
        <v>374.9</v>
      </c>
      <c r="C373" s="79">
        <f t="shared" si="5"/>
        <v>357.7</v>
      </c>
      <c r="D373" s="174">
        <v>0.58246065617498</v>
      </c>
      <c r="E373" s="179">
        <v>0.149476393704988</v>
      </c>
      <c r="F373" s="179">
        <v>0.149476393704988</v>
      </c>
      <c r="G373" s="180">
        <v>0.169256868498266</v>
      </c>
    </row>
    <row r="374" spans="1:7">
      <c r="A374" s="215" t="s">
        <v>209</v>
      </c>
      <c r="B374" s="216">
        <v>393.1</v>
      </c>
      <c r="C374" s="79">
        <f t="shared" si="5"/>
        <v>374.9</v>
      </c>
      <c r="D374" s="174">
        <v>0.601792164843551</v>
      </c>
      <c r="E374" s="179">
        <v>0.161075298906131</v>
      </c>
      <c r="F374" s="179">
        <v>0.161075298906131</v>
      </c>
      <c r="G374" s="180">
        <v>0.179939964385653</v>
      </c>
    </row>
    <row r="375" spans="1:7">
      <c r="A375" s="215" t="s">
        <v>210</v>
      </c>
      <c r="B375" s="216">
        <v>419.3</v>
      </c>
      <c r="C375" s="79">
        <f t="shared" si="5"/>
        <v>393.1</v>
      </c>
      <c r="D375" s="174">
        <v>0.626674218936322</v>
      </c>
      <c r="E375" s="179">
        <v>0.176004531361793</v>
      </c>
      <c r="F375" s="179">
        <v>0.176004531361793</v>
      </c>
      <c r="G375" s="180">
        <v>0.193690436441689</v>
      </c>
    </row>
    <row r="376" spans="1:7">
      <c r="A376" s="215" t="s">
        <v>211</v>
      </c>
      <c r="B376" s="216">
        <v>450.3</v>
      </c>
      <c r="C376" s="79">
        <f t="shared" si="5"/>
        <v>419.3</v>
      </c>
      <c r="D376" s="174">
        <v>0.652375083277815</v>
      </c>
      <c r="E376" s="179">
        <v>0.191425049966689</v>
      </c>
      <c r="F376" s="179">
        <v>0.191425049966689</v>
      </c>
      <c r="G376" s="180">
        <v>0.207893404397069</v>
      </c>
    </row>
    <row r="377" spans="1:7">
      <c r="A377" s="215" t="s">
        <v>212</v>
      </c>
      <c r="B377" s="216">
        <v>482.8</v>
      </c>
      <c r="C377" s="79">
        <f t="shared" si="5"/>
        <v>450.3</v>
      </c>
      <c r="D377" s="174">
        <v>0.675775683512842</v>
      </c>
      <c r="E377" s="179">
        <v>0.205465410107705</v>
      </c>
      <c r="F377" s="179">
        <v>0.205465410107705</v>
      </c>
      <c r="G377" s="180">
        <v>0.220825186412593</v>
      </c>
    </row>
    <row r="378" spans="1:7">
      <c r="A378" s="215" t="s">
        <v>213</v>
      </c>
      <c r="B378" s="216">
        <v>512.5</v>
      </c>
      <c r="C378" s="79">
        <f t="shared" si="5"/>
        <v>482.8</v>
      </c>
      <c r="D378" s="174">
        <v>0.69456487804878</v>
      </c>
      <c r="E378" s="179">
        <v>0.216738926829268</v>
      </c>
      <c r="F378" s="179">
        <v>0.216738926829268</v>
      </c>
      <c r="G378" s="180">
        <v>0.231208585365854</v>
      </c>
    </row>
    <row r="379" spans="1:7">
      <c r="A379" s="215" t="s">
        <v>214</v>
      </c>
      <c r="B379" s="216">
        <v>548.3</v>
      </c>
      <c r="C379" s="79">
        <f t="shared" si="5"/>
        <v>512.5</v>
      </c>
      <c r="D379" s="174">
        <v>0.71450756884917</v>
      </c>
      <c r="E379" s="179">
        <v>0.228704541309502</v>
      </c>
      <c r="F379" s="179">
        <v>0.228704541309502</v>
      </c>
      <c r="G379" s="180">
        <v>0.242229436439905</v>
      </c>
    </row>
    <row r="380" spans="1:7">
      <c r="A380" s="215" t="s">
        <v>215</v>
      </c>
      <c r="B380" s="216">
        <v>587.5</v>
      </c>
      <c r="C380" s="79">
        <f t="shared" si="5"/>
        <v>548.3</v>
      </c>
      <c r="D380" s="174">
        <v>0.733556595744681</v>
      </c>
      <c r="E380" s="179">
        <v>0.240133957446809</v>
      </c>
      <c r="F380" s="179">
        <v>0.240133957446809</v>
      </c>
      <c r="G380" s="180">
        <v>0.252756425531915</v>
      </c>
    </row>
    <row r="381" spans="1:7">
      <c r="A381" s="215" t="s">
        <v>216</v>
      </c>
      <c r="B381" s="216">
        <v>643.5</v>
      </c>
      <c r="C381" s="79">
        <f t="shared" si="5"/>
        <v>587.5</v>
      </c>
      <c r="D381" s="174">
        <v>0.75674358974359</v>
      </c>
      <c r="E381" s="179">
        <v>0.254046153846154</v>
      </c>
      <c r="F381" s="179">
        <v>0.254046153846154</v>
      </c>
      <c r="G381" s="180">
        <v>0.265570163170163</v>
      </c>
    </row>
    <row r="382" spans="1:7">
      <c r="A382" s="215" t="s">
        <v>217</v>
      </c>
      <c r="B382" s="216">
        <v>709.7</v>
      </c>
      <c r="C382" s="79">
        <f t="shared" si="5"/>
        <v>643.5</v>
      </c>
      <c r="D382" s="174">
        <v>0.779434268000564</v>
      </c>
      <c r="E382" s="179">
        <v>0.267660560800338</v>
      </c>
      <c r="F382" s="179">
        <v>0.267660560800338</v>
      </c>
      <c r="G382" s="180">
        <v>0.278109623784698</v>
      </c>
    </row>
    <row r="383" spans="1:7">
      <c r="A383" s="215" t="s">
        <v>218</v>
      </c>
      <c r="B383" s="216">
        <v>793.7</v>
      </c>
      <c r="C383" s="79">
        <f t="shared" si="5"/>
        <v>709.7</v>
      </c>
      <c r="D383" s="174">
        <v>0.802777497795137</v>
      </c>
      <c r="E383" s="179">
        <v>0.281666498677082</v>
      </c>
      <c r="F383" s="179">
        <v>0.281666498677082</v>
      </c>
      <c r="G383" s="180">
        <v>0.291009701398513</v>
      </c>
    </row>
    <row r="384" spans="1:7">
      <c r="A384" s="215" t="s">
        <v>219</v>
      </c>
      <c r="B384" s="216">
        <v>876.6</v>
      </c>
      <c r="C384" s="79">
        <f t="shared" si="5"/>
        <v>793.7</v>
      </c>
      <c r="D384" s="174">
        <v>0.821428815879535</v>
      </c>
      <c r="E384" s="179">
        <v>0.292857289527721</v>
      </c>
      <c r="F384" s="179">
        <v>0.292857289527721</v>
      </c>
      <c r="G384" s="180">
        <v>0.301316906228611</v>
      </c>
    </row>
    <row r="385" spans="1:7">
      <c r="A385" s="215" t="s">
        <v>220</v>
      </c>
      <c r="B385" s="216">
        <v>1001.7</v>
      </c>
      <c r="C385" s="79">
        <f t="shared" si="5"/>
        <v>876.6</v>
      </c>
      <c r="D385" s="174">
        <v>0.843730158730159</v>
      </c>
      <c r="E385" s="179">
        <v>0.306238095238095</v>
      </c>
      <c r="F385" s="179">
        <v>0.306238095238095</v>
      </c>
      <c r="G385" s="180">
        <v>0.313641209943097</v>
      </c>
    </row>
    <row r="386" spans="1:7">
      <c r="A386" s="215" t="s">
        <v>221</v>
      </c>
      <c r="B386" s="216">
        <v>1208</v>
      </c>
      <c r="C386" s="79">
        <f t="shared" si="5"/>
        <v>1001.7</v>
      </c>
      <c r="D386" s="174">
        <v>0.870417632450331</v>
      </c>
      <c r="E386" s="179">
        <v>0.322250579470199</v>
      </c>
      <c r="F386" s="179">
        <v>0.322250579470199</v>
      </c>
      <c r="G386" s="180">
        <v>0.32838940397351</v>
      </c>
    </row>
    <row r="387" ht="15.75" spans="1:7">
      <c r="A387" s="217" t="s">
        <v>221</v>
      </c>
      <c r="B387" s="239" t="s">
        <v>415</v>
      </c>
      <c r="C387" s="79">
        <f t="shared" si="5"/>
        <v>1208</v>
      </c>
      <c r="D387" s="184"/>
      <c r="E387" s="184"/>
      <c r="F387" s="184"/>
      <c r="G387" s="185"/>
    </row>
    <row r="388" ht="15.75" spans="1:7">
      <c r="A388" s="186"/>
      <c r="B388" s="219">
        <v>189.2</v>
      </c>
      <c r="D388" s="220"/>
      <c r="E388" s="221">
        <v>0.0845420104115517</v>
      </c>
      <c r="F388" s="221">
        <v>0.0845420104115517</v>
      </c>
      <c r="G388" s="222">
        <v>0.0938384225288703</v>
      </c>
    </row>
    <row r="389" ht="52.5" customHeight="1" spans="1:7">
      <c r="A389" s="191" t="s">
        <v>233</v>
      </c>
      <c r="B389" s="192"/>
      <c r="D389" s="193"/>
      <c r="E389" s="242">
        <v>260.8925</v>
      </c>
      <c r="F389" s="195">
        <v>260.8925</v>
      </c>
      <c r="G389" s="196">
        <v>240.293333333333</v>
      </c>
    </row>
    <row r="390" ht="54.75" customHeight="1" spans="1:7">
      <c r="A390" s="197" t="s">
        <v>224</v>
      </c>
      <c r="B390" s="198">
        <v>305.2</v>
      </c>
      <c r="D390" s="199"/>
      <c r="E390" s="200"/>
      <c r="F390" s="200"/>
      <c r="G390" s="201"/>
    </row>
    <row r="391" ht="78" customHeight="1" spans="1:7">
      <c r="A391" s="202" t="s">
        <v>225</v>
      </c>
      <c r="B391" s="203">
        <v>183.1</v>
      </c>
      <c r="D391" s="184"/>
      <c r="E391" s="183">
        <v>156.5355</v>
      </c>
      <c r="F391" s="183">
        <v>156.5355</v>
      </c>
      <c r="G391" s="204">
        <v>144.176</v>
      </c>
    </row>
    <row r="392" customHeight="1"/>
    <row r="393" ht="51.75" spans="1:2">
      <c r="A393" s="205" t="s">
        <v>224</v>
      </c>
      <c r="B393" s="166">
        <f>B390</f>
        <v>305.2</v>
      </c>
    </row>
    <row r="394" spans="1:2">
      <c r="A394" s="542" t="s">
        <v>226</v>
      </c>
      <c r="B394" s="207">
        <f>AVERAGE(B342:B381)</f>
        <v>260.8925</v>
      </c>
    </row>
    <row r="395" spans="1:2">
      <c r="A395" s="543" t="s">
        <v>227</v>
      </c>
      <c r="B395" s="209">
        <f>AVERAGE(B347:B376)</f>
        <v>240.293333333333</v>
      </c>
    </row>
    <row r="396" ht="15.75" spans="1:2">
      <c r="A396" s="544" t="s">
        <v>228</v>
      </c>
      <c r="B396" s="211">
        <f>AVERAGE(B353:B371)</f>
        <v>234.6</v>
      </c>
    </row>
    <row r="397" ht="15.75"/>
    <row r="398" ht="15.75" customHeight="1" spans="1:7">
      <c r="A398" s="155" t="s">
        <v>165</v>
      </c>
      <c r="B398" s="156" t="s">
        <v>408</v>
      </c>
      <c r="C398" s="157"/>
      <c r="D398" s="158"/>
      <c r="E398" s="159">
        <f>(1-E453)^(1/3)-1</f>
        <v>-0.0238312228472602</v>
      </c>
      <c r="F398" s="160">
        <f>(1-F453)^(1/3)-1</f>
        <v>-0.0313440236563651</v>
      </c>
      <c r="G398" s="161"/>
    </row>
    <row r="399" ht="77.25" spans="1:7">
      <c r="A399" s="162"/>
      <c r="B399" s="130" t="s">
        <v>167</v>
      </c>
      <c r="D399" s="130" t="s">
        <v>168</v>
      </c>
      <c r="E399" s="130" t="s">
        <v>169</v>
      </c>
      <c r="F399" s="130" t="s">
        <v>169</v>
      </c>
      <c r="G399" s="130"/>
    </row>
    <row r="400" ht="15.75" spans="1:7">
      <c r="A400" s="163"/>
      <c r="B400" s="164" t="s">
        <v>409</v>
      </c>
      <c r="D400" s="164" t="s">
        <v>171</v>
      </c>
      <c r="E400" s="538" t="s">
        <v>401</v>
      </c>
      <c r="F400" s="539" t="s">
        <v>402</v>
      </c>
      <c r="G400" s="166"/>
    </row>
    <row r="401" ht="15.75" spans="1:7">
      <c r="A401" s="167">
        <v>1</v>
      </c>
      <c r="B401" s="212">
        <v>2</v>
      </c>
      <c r="D401" s="131">
        <v>3</v>
      </c>
      <c r="E401" s="169">
        <v>4</v>
      </c>
      <c r="F401" s="131">
        <v>5</v>
      </c>
      <c r="G401" s="169"/>
    </row>
    <row r="402" spans="1:7">
      <c r="A402" s="545" t="s">
        <v>172</v>
      </c>
      <c r="B402" s="214">
        <v>6.4</v>
      </c>
      <c r="C402">
        <v>0</v>
      </c>
      <c r="D402" s="174">
        <f>IF(B402=0,0,IF(B402&lt;=E$456,0,B402-E$456)/B402)</f>
        <v>0</v>
      </c>
      <c r="E402" s="175">
        <f t="shared" ref="E402:F421" si="6">IF($B402&lt;=E$456,0,IF(AND(E$456&lt;$B402,$B402&lt;=E$454),$E$1*($B402-E$456),$E$1*(E$454-E$456)+$F$1*($B402-E$454)))/$B402</f>
        <v>0</v>
      </c>
      <c r="F402" s="175">
        <f t="shared" si="6"/>
        <v>0</v>
      </c>
      <c r="G402" s="176"/>
    </row>
    <row r="403" spans="1:7">
      <c r="A403" s="546" t="s">
        <v>173</v>
      </c>
      <c r="B403" s="216">
        <v>18.8</v>
      </c>
      <c r="C403" s="79">
        <f>B402</f>
        <v>6.4</v>
      </c>
      <c r="D403" s="174">
        <f t="shared" ref="D403:D451" si="7">IF(B403=0,0,IF(B403&lt;=E$456,0,B403-E$456)/B403)</f>
        <v>0</v>
      </c>
      <c r="E403" s="179">
        <f t="shared" si="6"/>
        <v>0</v>
      </c>
      <c r="F403" s="179">
        <f t="shared" si="6"/>
        <v>0</v>
      </c>
      <c r="G403" s="180"/>
    </row>
    <row r="404" spans="1:7">
      <c r="A404" s="546" t="s">
        <v>174</v>
      </c>
      <c r="B404" s="216">
        <v>27.9</v>
      </c>
      <c r="C404" s="79">
        <f t="shared" ref="C404:C452" si="8">B403</f>
        <v>18.8</v>
      </c>
      <c r="D404" s="174">
        <f t="shared" si="7"/>
        <v>0</v>
      </c>
      <c r="E404" s="179">
        <f t="shared" si="6"/>
        <v>0</v>
      </c>
      <c r="F404" s="179">
        <f t="shared" si="6"/>
        <v>0</v>
      </c>
      <c r="G404" s="180"/>
    </row>
    <row r="405" spans="1:7">
      <c r="A405" s="546" t="s">
        <v>175</v>
      </c>
      <c r="B405" s="216">
        <v>34.8</v>
      </c>
      <c r="C405" s="79">
        <f t="shared" si="8"/>
        <v>27.9</v>
      </c>
      <c r="D405" s="174">
        <f t="shared" si="7"/>
        <v>0</v>
      </c>
      <c r="E405" s="179">
        <f t="shared" si="6"/>
        <v>0</v>
      </c>
      <c r="F405" s="179">
        <f t="shared" si="6"/>
        <v>0</v>
      </c>
      <c r="G405" s="180"/>
    </row>
    <row r="406" spans="1:7">
      <c r="A406" s="546" t="s">
        <v>176</v>
      </c>
      <c r="B406" s="216">
        <v>40</v>
      </c>
      <c r="C406" s="79">
        <f t="shared" si="8"/>
        <v>34.8</v>
      </c>
      <c r="D406" s="174">
        <f t="shared" si="7"/>
        <v>0</v>
      </c>
      <c r="E406" s="179">
        <f t="shared" si="6"/>
        <v>0</v>
      </c>
      <c r="F406" s="179">
        <f t="shared" si="6"/>
        <v>0</v>
      </c>
      <c r="G406" s="180"/>
    </row>
    <row r="407" spans="1:7">
      <c r="A407" s="546" t="s">
        <v>177</v>
      </c>
      <c r="B407" s="216">
        <v>45</v>
      </c>
      <c r="C407" s="79">
        <f t="shared" si="8"/>
        <v>40</v>
      </c>
      <c r="D407" s="174">
        <f t="shared" si="7"/>
        <v>0</v>
      </c>
      <c r="E407" s="179">
        <f t="shared" si="6"/>
        <v>0</v>
      </c>
      <c r="F407" s="179">
        <f t="shared" si="6"/>
        <v>0</v>
      </c>
      <c r="G407" s="180"/>
    </row>
    <row r="408" spans="1:7">
      <c r="A408" s="546" t="s">
        <v>178</v>
      </c>
      <c r="B408" s="216">
        <v>50.2</v>
      </c>
      <c r="C408" s="79">
        <f t="shared" si="8"/>
        <v>45</v>
      </c>
      <c r="D408" s="174">
        <f t="shared" si="7"/>
        <v>0</v>
      </c>
      <c r="E408" s="179">
        <f t="shared" si="6"/>
        <v>0</v>
      </c>
      <c r="F408" s="179">
        <f t="shared" si="6"/>
        <v>0</v>
      </c>
      <c r="G408" s="180"/>
    </row>
    <row r="409" spans="1:7">
      <c r="A409" s="215" t="s">
        <v>179</v>
      </c>
      <c r="B409" s="216">
        <v>55.7</v>
      </c>
      <c r="C409" s="79">
        <f t="shared" si="8"/>
        <v>50.2</v>
      </c>
      <c r="D409" s="174">
        <f t="shared" si="7"/>
        <v>0</v>
      </c>
      <c r="E409" s="179">
        <f t="shared" si="6"/>
        <v>0</v>
      </c>
      <c r="F409" s="179">
        <f t="shared" si="6"/>
        <v>0</v>
      </c>
      <c r="G409" s="180"/>
    </row>
    <row r="410" spans="1:7">
      <c r="A410" s="215" t="s">
        <v>180</v>
      </c>
      <c r="B410" s="216">
        <v>62.1</v>
      </c>
      <c r="C410" s="79">
        <f t="shared" si="8"/>
        <v>55.7</v>
      </c>
      <c r="D410" s="174">
        <f t="shared" si="7"/>
        <v>0</v>
      </c>
      <c r="E410" s="179">
        <f t="shared" si="6"/>
        <v>0</v>
      </c>
      <c r="F410" s="179">
        <f t="shared" si="6"/>
        <v>0</v>
      </c>
      <c r="G410" s="180"/>
    </row>
    <row r="411" spans="1:7">
      <c r="A411" s="215" t="s">
        <v>181</v>
      </c>
      <c r="B411" s="216">
        <v>67.9</v>
      </c>
      <c r="C411" s="79">
        <f t="shared" si="8"/>
        <v>62.1</v>
      </c>
      <c r="D411" s="174">
        <f t="shared" si="7"/>
        <v>0</v>
      </c>
      <c r="E411" s="179">
        <f t="shared" si="6"/>
        <v>0</v>
      </c>
      <c r="F411" s="179">
        <f t="shared" si="6"/>
        <v>0</v>
      </c>
      <c r="G411" s="180"/>
    </row>
    <row r="412" spans="1:7">
      <c r="A412" s="215" t="s">
        <v>182</v>
      </c>
      <c r="B412" s="216">
        <v>73.7</v>
      </c>
      <c r="C412" s="79">
        <f t="shared" si="8"/>
        <v>67.9</v>
      </c>
      <c r="D412" s="174">
        <f t="shared" si="7"/>
        <v>0</v>
      </c>
      <c r="E412" s="179">
        <f t="shared" si="6"/>
        <v>0</v>
      </c>
      <c r="F412" s="179">
        <f t="shared" si="6"/>
        <v>0</v>
      </c>
      <c r="G412" s="180"/>
    </row>
    <row r="413" spans="1:7">
      <c r="A413" s="215" t="s">
        <v>183</v>
      </c>
      <c r="B413" s="216">
        <v>79.8</v>
      </c>
      <c r="C413" s="79">
        <f t="shared" si="8"/>
        <v>73.7</v>
      </c>
      <c r="D413" s="174">
        <f t="shared" si="7"/>
        <v>0</v>
      </c>
      <c r="E413" s="179">
        <f t="shared" si="6"/>
        <v>0</v>
      </c>
      <c r="F413" s="179">
        <f t="shared" si="6"/>
        <v>0</v>
      </c>
      <c r="G413" s="180"/>
    </row>
    <row r="414" spans="1:7">
      <c r="A414" s="215" t="s">
        <v>184</v>
      </c>
      <c r="B414" s="216">
        <v>86.5</v>
      </c>
      <c r="C414" s="79">
        <f t="shared" si="8"/>
        <v>79.8</v>
      </c>
      <c r="D414" s="174">
        <f t="shared" si="7"/>
        <v>0</v>
      </c>
      <c r="E414" s="179">
        <f t="shared" si="6"/>
        <v>0</v>
      </c>
      <c r="F414" s="179">
        <f t="shared" si="6"/>
        <v>0</v>
      </c>
      <c r="G414" s="180"/>
    </row>
    <row r="415" spans="1:7">
      <c r="A415" s="215" t="s">
        <v>185</v>
      </c>
      <c r="B415" s="216">
        <v>93.4</v>
      </c>
      <c r="C415" s="79">
        <f t="shared" si="8"/>
        <v>86.5</v>
      </c>
      <c r="D415" s="174">
        <f t="shared" si="7"/>
        <v>0</v>
      </c>
      <c r="E415" s="179">
        <f t="shared" si="6"/>
        <v>0</v>
      </c>
      <c r="F415" s="179">
        <f t="shared" si="6"/>
        <v>0</v>
      </c>
      <c r="G415" s="180"/>
    </row>
    <row r="416" spans="1:7">
      <c r="A416" s="215" t="s">
        <v>186</v>
      </c>
      <c r="B416" s="216">
        <v>100.3</v>
      </c>
      <c r="C416" s="79">
        <f t="shared" si="8"/>
        <v>93.4</v>
      </c>
      <c r="D416" s="174">
        <f t="shared" si="7"/>
        <v>0</v>
      </c>
      <c r="E416" s="179">
        <f t="shared" si="6"/>
        <v>0</v>
      </c>
      <c r="F416" s="179">
        <f t="shared" si="6"/>
        <v>0</v>
      </c>
      <c r="G416" s="180"/>
    </row>
    <row r="417" spans="1:7">
      <c r="A417" s="215" t="s">
        <v>187</v>
      </c>
      <c r="B417" s="216">
        <v>107.9</v>
      </c>
      <c r="C417" s="79">
        <f t="shared" si="8"/>
        <v>100.3</v>
      </c>
      <c r="D417" s="174">
        <f t="shared" si="7"/>
        <v>0</v>
      </c>
      <c r="E417" s="179">
        <f t="shared" si="6"/>
        <v>0</v>
      </c>
      <c r="F417" s="179">
        <f t="shared" si="6"/>
        <v>0</v>
      </c>
      <c r="G417" s="180"/>
    </row>
    <row r="418" spans="1:7">
      <c r="A418" s="215" t="s">
        <v>188</v>
      </c>
      <c r="B418" s="216">
        <v>114.7</v>
      </c>
      <c r="C418" s="79">
        <f t="shared" si="8"/>
        <v>107.9</v>
      </c>
      <c r="D418" s="174">
        <f t="shared" si="7"/>
        <v>0</v>
      </c>
      <c r="E418" s="179">
        <f t="shared" si="6"/>
        <v>0</v>
      </c>
      <c r="F418" s="179">
        <f t="shared" si="6"/>
        <v>0</v>
      </c>
      <c r="G418" s="180"/>
    </row>
    <row r="419" spans="1:7">
      <c r="A419" s="215" t="s">
        <v>189</v>
      </c>
      <c r="B419" s="216">
        <v>123</v>
      </c>
      <c r="C419" s="79">
        <f t="shared" si="8"/>
        <v>114.7</v>
      </c>
      <c r="D419" s="174">
        <f t="shared" si="7"/>
        <v>0</v>
      </c>
      <c r="E419" s="179">
        <f t="shared" si="6"/>
        <v>0</v>
      </c>
      <c r="F419" s="179">
        <f t="shared" si="6"/>
        <v>0</v>
      </c>
      <c r="G419" s="180"/>
    </row>
    <row r="420" spans="1:7">
      <c r="A420" s="215" t="s">
        <v>190</v>
      </c>
      <c r="B420" s="216">
        <v>132.6</v>
      </c>
      <c r="C420" s="79">
        <f t="shared" si="8"/>
        <v>123</v>
      </c>
      <c r="D420" s="174">
        <f t="shared" si="7"/>
        <v>0</v>
      </c>
      <c r="E420" s="179">
        <f t="shared" si="6"/>
        <v>0</v>
      </c>
      <c r="F420" s="179">
        <f t="shared" si="6"/>
        <v>0</v>
      </c>
      <c r="G420" s="180"/>
    </row>
    <row r="421" spans="1:7">
      <c r="A421" s="215" t="s">
        <v>191</v>
      </c>
      <c r="B421" s="216">
        <v>141.7</v>
      </c>
      <c r="C421" s="79">
        <f t="shared" si="8"/>
        <v>132.6</v>
      </c>
      <c r="D421" s="174">
        <f t="shared" si="7"/>
        <v>0</v>
      </c>
      <c r="E421" s="179">
        <f t="shared" si="6"/>
        <v>0</v>
      </c>
      <c r="F421" s="179">
        <f t="shared" si="6"/>
        <v>0</v>
      </c>
      <c r="G421" s="180"/>
    </row>
    <row r="422" spans="1:7">
      <c r="A422" s="215" t="s">
        <v>192</v>
      </c>
      <c r="B422" s="216">
        <v>150</v>
      </c>
      <c r="C422" s="79">
        <f t="shared" si="8"/>
        <v>141.7</v>
      </c>
      <c r="D422" s="174">
        <f t="shared" si="7"/>
        <v>0</v>
      </c>
      <c r="E422" s="179">
        <f t="shared" ref="E422:F441" si="9">IF($B422&lt;=E$456,0,IF(AND(E$456&lt;$B422,$B422&lt;=E$454),$E$1*($B422-E$456),$E$1*(E$454-E$456)+$F$1*($B422-E$454)))/$B422</f>
        <v>0</v>
      </c>
      <c r="F422" s="179">
        <f t="shared" si="9"/>
        <v>0.002947</v>
      </c>
      <c r="G422" s="180"/>
    </row>
    <row r="423" spans="1:7">
      <c r="A423" s="215" t="s">
        <v>193</v>
      </c>
      <c r="B423" s="216">
        <v>161.1</v>
      </c>
      <c r="C423" s="79">
        <f t="shared" si="8"/>
        <v>150</v>
      </c>
      <c r="D423" s="174">
        <f t="shared" si="7"/>
        <v>0</v>
      </c>
      <c r="E423" s="179">
        <f t="shared" si="9"/>
        <v>0</v>
      </c>
      <c r="F423" s="179">
        <f t="shared" si="9"/>
        <v>0.0096340782122905</v>
      </c>
      <c r="G423" s="180"/>
    </row>
    <row r="424" spans="1:7">
      <c r="A424" s="215" t="s">
        <v>194</v>
      </c>
      <c r="B424" s="216">
        <v>173.3</v>
      </c>
      <c r="C424" s="79">
        <f t="shared" si="8"/>
        <v>161.1</v>
      </c>
      <c r="D424" s="174">
        <f t="shared" si="7"/>
        <v>0</v>
      </c>
      <c r="E424" s="179"/>
      <c r="F424" s="179">
        <f t="shared" si="9"/>
        <v>0.0159956722446624</v>
      </c>
      <c r="G424" s="180"/>
    </row>
    <row r="425" spans="1:7">
      <c r="A425" s="215" t="s">
        <v>195</v>
      </c>
      <c r="B425" s="216">
        <v>185.3</v>
      </c>
      <c r="C425" s="79">
        <f t="shared" si="8"/>
        <v>173.3</v>
      </c>
      <c r="D425" s="174">
        <f t="shared" si="7"/>
        <v>0</v>
      </c>
      <c r="E425" s="179"/>
      <c r="F425" s="179">
        <f t="shared" si="9"/>
        <v>0.0214357798165138</v>
      </c>
      <c r="G425" s="180"/>
    </row>
    <row r="426" spans="1:7">
      <c r="A426" s="215" t="s">
        <v>196</v>
      </c>
      <c r="B426" s="216">
        <v>199.1</v>
      </c>
      <c r="C426" s="79">
        <f t="shared" si="8"/>
        <v>185.3</v>
      </c>
      <c r="D426" s="174">
        <f t="shared" si="7"/>
        <v>0.0456052235057761</v>
      </c>
      <c r="E426" s="179"/>
      <c r="F426" s="179">
        <f t="shared" si="9"/>
        <v>0.0268812154696133</v>
      </c>
      <c r="G426" s="180"/>
    </row>
    <row r="427" spans="1:7">
      <c r="A427" s="215" t="s">
        <v>197</v>
      </c>
      <c r="B427" s="216">
        <v>213.1</v>
      </c>
      <c r="C427" s="79">
        <f t="shared" si="8"/>
        <v>199.1</v>
      </c>
      <c r="D427" s="174">
        <f t="shared" si="7"/>
        <v>0.10830595964336</v>
      </c>
      <c r="E427" s="179">
        <f t="shared" si="9"/>
        <v>0.010830595964336</v>
      </c>
      <c r="F427" s="179">
        <f t="shared" si="9"/>
        <v>0.0316848897231347</v>
      </c>
      <c r="G427" s="180"/>
    </row>
    <row r="428" spans="1:7">
      <c r="A428" s="215" t="s">
        <v>198</v>
      </c>
      <c r="B428" s="216">
        <v>226.2</v>
      </c>
      <c r="C428" s="79">
        <f t="shared" si="8"/>
        <v>213.1</v>
      </c>
      <c r="D428" s="174">
        <f t="shared" si="7"/>
        <v>0.159946949602122</v>
      </c>
      <c r="E428" s="179">
        <f t="shared" si="9"/>
        <v>0.0159946949602122</v>
      </c>
      <c r="F428" s="179">
        <f t="shared" si="9"/>
        <v>0.0356412466843501</v>
      </c>
      <c r="G428" s="180"/>
    </row>
    <row r="429" spans="1:7">
      <c r="A429" s="215" t="s">
        <v>199</v>
      </c>
      <c r="B429" s="216">
        <v>239.6</v>
      </c>
      <c r="C429" s="79">
        <f t="shared" si="8"/>
        <v>226.2</v>
      </c>
      <c r="D429" s="174">
        <f t="shared" si="7"/>
        <v>0.206928213689483</v>
      </c>
      <c r="E429" s="179">
        <f t="shared" si="9"/>
        <v>0.0206928213689483</v>
      </c>
      <c r="F429" s="179">
        <f t="shared" si="9"/>
        <v>0.0392406093489149</v>
      </c>
      <c r="G429" s="180"/>
    </row>
    <row r="430" spans="1:7">
      <c r="A430" s="215" t="s">
        <v>200</v>
      </c>
      <c r="B430" s="216">
        <v>251.5</v>
      </c>
      <c r="C430" s="79">
        <f t="shared" si="8"/>
        <v>239.6</v>
      </c>
      <c r="D430" s="174">
        <f t="shared" si="7"/>
        <v>0.244453280318092</v>
      </c>
      <c r="E430" s="179">
        <f t="shared" si="9"/>
        <v>0.0244453280318092</v>
      </c>
      <c r="F430" s="179">
        <f t="shared" si="9"/>
        <v>0.052693041749503</v>
      </c>
      <c r="G430" s="180"/>
    </row>
    <row r="431" spans="1:7">
      <c r="A431" s="215" t="s">
        <v>201</v>
      </c>
      <c r="B431" s="216">
        <v>265.1</v>
      </c>
      <c r="C431" s="79">
        <f t="shared" si="8"/>
        <v>251.5</v>
      </c>
      <c r="D431" s="174">
        <f t="shared" si="7"/>
        <v>0.283213881554131</v>
      </c>
      <c r="E431" s="179">
        <f t="shared" si="9"/>
        <v>0.0283213881554131</v>
      </c>
      <c r="F431" s="179">
        <f t="shared" si="9"/>
        <v>0.0705103734439834</v>
      </c>
      <c r="G431" s="180"/>
    </row>
    <row r="432" spans="1:7">
      <c r="A432" s="215" t="s">
        <v>202</v>
      </c>
      <c r="B432" s="216">
        <v>278.4</v>
      </c>
      <c r="C432" s="79">
        <f t="shared" si="8"/>
        <v>265.1</v>
      </c>
      <c r="D432" s="174">
        <f t="shared" si="7"/>
        <v>0.317456896551724</v>
      </c>
      <c r="E432" s="179">
        <f t="shared" si="9"/>
        <v>0.0317456896551724</v>
      </c>
      <c r="F432" s="179">
        <f t="shared" si="9"/>
        <v>0.0862510775862069</v>
      </c>
      <c r="G432" s="180"/>
    </row>
    <row r="433" spans="1:7">
      <c r="A433" s="215" t="s">
        <v>203</v>
      </c>
      <c r="B433" s="216">
        <v>291.5</v>
      </c>
      <c r="C433" s="79">
        <f t="shared" si="8"/>
        <v>278.4</v>
      </c>
      <c r="D433" s="174">
        <f t="shared" si="7"/>
        <v>0.348130360205832</v>
      </c>
      <c r="E433" s="179">
        <f t="shared" si="9"/>
        <v>0.0348130360205832</v>
      </c>
      <c r="F433" s="179">
        <f t="shared" si="9"/>
        <v>0.100350943396226</v>
      </c>
      <c r="G433" s="180"/>
    </row>
    <row r="434" spans="1:7">
      <c r="A434" s="215" t="s">
        <v>204</v>
      </c>
      <c r="B434" s="216">
        <v>307.3</v>
      </c>
      <c r="C434" s="79">
        <f t="shared" si="8"/>
        <v>291.5</v>
      </c>
      <c r="D434" s="174">
        <f t="shared" si="7"/>
        <v>0.381646599414253</v>
      </c>
      <c r="E434" s="179">
        <f t="shared" si="9"/>
        <v>0.0381646599414253</v>
      </c>
      <c r="F434" s="179">
        <f t="shared" si="9"/>
        <v>0.115757565896518</v>
      </c>
      <c r="G434" s="180"/>
    </row>
    <row r="435" spans="1:7">
      <c r="A435" s="215" t="s">
        <v>205</v>
      </c>
      <c r="B435" s="216">
        <v>325</v>
      </c>
      <c r="C435" s="79">
        <f t="shared" si="8"/>
        <v>307.3</v>
      </c>
      <c r="D435" s="174">
        <f t="shared" si="7"/>
        <v>0.415323076923077</v>
      </c>
      <c r="E435" s="179">
        <f t="shared" si="9"/>
        <v>0.0491938461538462</v>
      </c>
      <c r="F435" s="179">
        <f t="shared" si="9"/>
        <v>0.131237846153846</v>
      </c>
      <c r="G435" s="180"/>
    </row>
    <row r="436" spans="1:7">
      <c r="A436" s="215" t="s">
        <v>206</v>
      </c>
      <c r="B436" s="216">
        <v>343.5</v>
      </c>
      <c r="C436" s="79">
        <f t="shared" si="8"/>
        <v>325</v>
      </c>
      <c r="D436" s="174">
        <f t="shared" si="7"/>
        <v>0.446812227074236</v>
      </c>
      <c r="E436" s="179">
        <f t="shared" si="9"/>
        <v>0.0680873362445415</v>
      </c>
      <c r="F436" s="179">
        <f t="shared" si="9"/>
        <v>0.145712663755459</v>
      </c>
      <c r="G436" s="180"/>
    </row>
    <row r="437" spans="1:7">
      <c r="A437" s="215" t="s">
        <v>207</v>
      </c>
      <c r="B437" s="216">
        <v>360.3</v>
      </c>
      <c r="C437" s="79">
        <f t="shared" si="8"/>
        <v>343.5</v>
      </c>
      <c r="D437" s="174">
        <f t="shared" si="7"/>
        <v>0.472606161532057</v>
      </c>
      <c r="E437" s="179">
        <f t="shared" si="9"/>
        <v>0.083563696919234</v>
      </c>
      <c r="F437" s="179">
        <f t="shared" si="9"/>
        <v>0.157569525395504</v>
      </c>
      <c r="G437" s="180"/>
    </row>
    <row r="438" spans="1:7">
      <c r="A438" s="215" t="s">
        <v>208</v>
      </c>
      <c r="B438" s="216">
        <v>379.5</v>
      </c>
      <c r="C438" s="79">
        <f t="shared" si="8"/>
        <v>360.3</v>
      </c>
      <c r="D438" s="174">
        <f t="shared" si="7"/>
        <v>0.499288537549407</v>
      </c>
      <c r="E438" s="179">
        <f t="shared" si="9"/>
        <v>0.0995731225296443</v>
      </c>
      <c r="F438" s="179">
        <f t="shared" si="9"/>
        <v>0.169834782608696</v>
      </c>
      <c r="G438" s="180"/>
    </row>
    <row r="439" spans="1:7">
      <c r="A439" s="215" t="s">
        <v>209</v>
      </c>
      <c r="B439" s="216">
        <v>402.8</v>
      </c>
      <c r="C439" s="79">
        <f t="shared" si="8"/>
        <v>379.5</v>
      </c>
      <c r="D439" s="174">
        <f t="shared" si="7"/>
        <v>0.528252234359484</v>
      </c>
      <c r="E439" s="179">
        <f t="shared" si="9"/>
        <v>0.11695134061569</v>
      </c>
      <c r="F439" s="179">
        <f t="shared" si="9"/>
        <v>0.183148709036743</v>
      </c>
      <c r="G439" s="180"/>
    </row>
    <row r="440" spans="1:7">
      <c r="A440" s="215" t="s">
        <v>210</v>
      </c>
      <c r="B440" s="216">
        <v>426</v>
      </c>
      <c r="C440" s="79">
        <f t="shared" si="8"/>
        <v>402.8</v>
      </c>
      <c r="D440" s="174">
        <f t="shared" si="7"/>
        <v>0.553943661971831</v>
      </c>
      <c r="E440" s="179">
        <f t="shared" si="9"/>
        <v>0.132366197183099</v>
      </c>
      <c r="F440" s="179">
        <f t="shared" si="9"/>
        <v>0.194958450704225</v>
      </c>
      <c r="G440" s="180"/>
    </row>
    <row r="441" spans="1:7">
      <c r="A441" s="215" t="s">
        <v>211</v>
      </c>
      <c r="B441" s="216">
        <v>448</v>
      </c>
      <c r="C441" s="79">
        <f t="shared" si="8"/>
        <v>426</v>
      </c>
      <c r="D441" s="174">
        <f t="shared" si="7"/>
        <v>0.575848214285714</v>
      </c>
      <c r="E441" s="179">
        <f t="shared" si="9"/>
        <v>0.145508928571429</v>
      </c>
      <c r="F441" s="179">
        <f t="shared" si="9"/>
        <v>0.205027455357143</v>
      </c>
      <c r="G441" s="180"/>
    </row>
    <row r="442" spans="1:7">
      <c r="A442" s="215" t="s">
        <v>212</v>
      </c>
      <c r="B442" s="216">
        <v>476.6</v>
      </c>
      <c r="C442" s="79">
        <f t="shared" si="8"/>
        <v>448</v>
      </c>
      <c r="D442" s="174">
        <f t="shared" si="7"/>
        <v>0.601300881242132</v>
      </c>
      <c r="E442" s="179">
        <f t="shared" ref="E442:F451" si="10">IF($B442&lt;=E$456,0,IF(AND(E$456&lt;$B442,$B442&lt;=E$454),$E$1*($B442-E$456),$E$1*(E$454-E$456)+$F$1*($B442-E$454)))/$B442</f>
        <v>0.160780528745279</v>
      </c>
      <c r="F442" s="179">
        <f t="shared" si="10"/>
        <v>0.216727444397818</v>
      </c>
      <c r="G442" s="180"/>
    </row>
    <row r="443" spans="1:7">
      <c r="A443" s="215" t="s">
        <v>213</v>
      </c>
      <c r="B443" s="216">
        <v>512.3</v>
      </c>
      <c r="C443" s="79">
        <f t="shared" si="8"/>
        <v>476.6</v>
      </c>
      <c r="D443" s="174">
        <f t="shared" si="7"/>
        <v>0.6290845207886</v>
      </c>
      <c r="E443" s="179">
        <f t="shared" si="10"/>
        <v>0.17745071247316</v>
      </c>
      <c r="F443" s="179">
        <f t="shared" si="10"/>
        <v>0.229498926410306</v>
      </c>
      <c r="G443" s="180"/>
    </row>
    <row r="444" spans="1:7">
      <c r="A444" s="215" t="s">
        <v>214</v>
      </c>
      <c r="B444" s="216">
        <v>545</v>
      </c>
      <c r="C444" s="79">
        <f t="shared" si="8"/>
        <v>512.3</v>
      </c>
      <c r="D444" s="174">
        <f t="shared" si="7"/>
        <v>0.651339449541284</v>
      </c>
      <c r="E444" s="179">
        <f t="shared" si="10"/>
        <v>0.190803669724771</v>
      </c>
      <c r="F444" s="179">
        <f t="shared" si="10"/>
        <v>0.239728990825688</v>
      </c>
      <c r="G444" s="180"/>
    </row>
    <row r="445" spans="1:7">
      <c r="A445" s="215" t="s">
        <v>215</v>
      </c>
      <c r="B445" s="216">
        <v>579</v>
      </c>
      <c r="C445" s="79">
        <f t="shared" si="8"/>
        <v>545</v>
      </c>
      <c r="D445" s="174">
        <f t="shared" si="7"/>
        <v>0.671813471502591</v>
      </c>
      <c r="E445" s="179">
        <f t="shared" si="10"/>
        <v>0.203088082901554</v>
      </c>
      <c r="F445" s="179">
        <f t="shared" si="10"/>
        <v>0.249140414507772</v>
      </c>
      <c r="G445" s="180"/>
    </row>
    <row r="446" spans="1:7">
      <c r="A446" s="215" t="s">
        <v>216</v>
      </c>
      <c r="B446" s="216">
        <v>631.3</v>
      </c>
      <c r="C446" s="79">
        <f t="shared" si="8"/>
        <v>579</v>
      </c>
      <c r="D446" s="174">
        <f t="shared" si="7"/>
        <v>0.699002059242832</v>
      </c>
      <c r="E446" s="179">
        <f t="shared" si="10"/>
        <v>0.219401235545699</v>
      </c>
      <c r="F446" s="179">
        <f t="shared" si="10"/>
        <v>0.261638365277998</v>
      </c>
      <c r="G446" s="180"/>
    </row>
    <row r="447" spans="1:7">
      <c r="A447" s="215" t="s">
        <v>217</v>
      </c>
      <c r="B447" s="216">
        <v>707.3</v>
      </c>
      <c r="C447" s="79">
        <f t="shared" si="8"/>
        <v>631.3</v>
      </c>
      <c r="D447" s="174">
        <f t="shared" si="7"/>
        <v>0.731344549696027</v>
      </c>
      <c r="E447" s="179">
        <f t="shared" si="10"/>
        <v>0.238806729817616</v>
      </c>
      <c r="F447" s="179">
        <f t="shared" si="10"/>
        <v>0.276505443234837</v>
      </c>
      <c r="G447" s="180"/>
    </row>
    <row r="448" spans="1:7">
      <c r="A448" s="215" t="s">
        <v>218</v>
      </c>
      <c r="B448" s="216">
        <v>794.8</v>
      </c>
      <c r="C448" s="79">
        <f t="shared" si="8"/>
        <v>707.3</v>
      </c>
      <c r="D448" s="174">
        <f t="shared" si="7"/>
        <v>0.760920986411676</v>
      </c>
      <c r="E448" s="179">
        <f t="shared" si="10"/>
        <v>0.256552591847006</v>
      </c>
      <c r="F448" s="179">
        <f t="shared" si="10"/>
        <v>0.29010103170609</v>
      </c>
      <c r="G448" s="180"/>
    </row>
    <row r="449" spans="1:7">
      <c r="A449" s="215" t="s">
        <v>219</v>
      </c>
      <c r="B449" s="216">
        <v>926.7</v>
      </c>
      <c r="C449" s="79">
        <f t="shared" si="8"/>
        <v>794.8</v>
      </c>
      <c r="D449" s="174">
        <f t="shared" si="7"/>
        <v>0.794949821948851</v>
      </c>
      <c r="E449" s="179">
        <f t="shared" si="10"/>
        <v>0.27696989316931</v>
      </c>
      <c r="F449" s="179">
        <f t="shared" si="10"/>
        <v>0.305743282615733</v>
      </c>
      <c r="G449" s="180"/>
    </row>
    <row r="450" spans="1:7">
      <c r="A450" s="215" t="s">
        <v>220</v>
      </c>
      <c r="B450" s="216">
        <v>1193.8</v>
      </c>
      <c r="C450" s="79">
        <f t="shared" si="8"/>
        <v>926.7</v>
      </c>
      <c r="D450" s="174">
        <f t="shared" si="7"/>
        <v>0.840827609314793</v>
      </c>
      <c r="E450" s="179">
        <f t="shared" si="10"/>
        <v>0.304496565588876</v>
      </c>
      <c r="F450" s="179">
        <f t="shared" si="10"/>
        <v>0.326832216451667</v>
      </c>
      <c r="G450" s="180"/>
    </row>
    <row r="451" spans="1:7">
      <c r="A451" s="215" t="s">
        <v>221</v>
      </c>
      <c r="B451" s="216">
        <v>2383.1</v>
      </c>
      <c r="C451" s="79">
        <f t="shared" si="8"/>
        <v>1193.8</v>
      </c>
      <c r="D451" s="174">
        <f t="shared" si="7"/>
        <v>0.920263522302883</v>
      </c>
      <c r="E451" s="179">
        <f t="shared" si="10"/>
        <v>0.35215811338173</v>
      </c>
      <c r="F451" s="179">
        <f t="shared" si="10"/>
        <v>0.363347026981662</v>
      </c>
      <c r="G451" s="180"/>
    </row>
    <row r="452" ht="15.75" spans="1:7">
      <c r="A452" s="217" t="s">
        <v>221</v>
      </c>
      <c r="B452" s="218" t="s">
        <v>416</v>
      </c>
      <c r="C452" s="79">
        <f t="shared" si="8"/>
        <v>2383.1</v>
      </c>
      <c r="D452" s="184"/>
      <c r="E452" s="184"/>
      <c r="F452" s="184"/>
      <c r="G452" s="185"/>
    </row>
    <row r="453" ht="15.75" spans="1:7">
      <c r="A453" s="186"/>
      <c r="B453" s="219">
        <v>189.2</v>
      </c>
      <c r="D453" s="220"/>
      <c r="E453" s="221">
        <f>AVERAGE(E402:E451)</f>
        <v>0.069803421393838</v>
      </c>
      <c r="F453" s="221">
        <f>AVERAGE(F402:F452)</f>
        <v>0.0911155213798621</v>
      </c>
      <c r="G453" s="222"/>
    </row>
    <row r="454" ht="53.25" customHeight="1" spans="1:11">
      <c r="A454" s="191" t="s">
        <v>233</v>
      </c>
      <c r="B454" s="192"/>
      <c r="D454" s="193"/>
      <c r="E454" s="194">
        <f>B455</f>
        <v>316.7</v>
      </c>
      <c r="F454" s="195">
        <f>B459</f>
        <v>242.6325</v>
      </c>
      <c r="G454" s="196"/>
      <c r="K454" s="243">
        <f>(1-33.86/52)*100</f>
        <v>34.8846153846154</v>
      </c>
    </row>
    <row r="455" ht="51.75" customHeight="1" spans="1:14">
      <c r="A455" s="197" t="s">
        <v>224</v>
      </c>
      <c r="B455" s="198">
        <v>316.7</v>
      </c>
      <c r="D455" s="199"/>
      <c r="E455" s="200"/>
      <c r="F455" s="200"/>
      <c r="G455" s="201"/>
      <c r="K455" s="152">
        <v>52</v>
      </c>
      <c r="L455" s="244">
        <v>0.036</v>
      </c>
      <c r="M455" s="244">
        <f>1-L455</f>
        <v>0.964</v>
      </c>
      <c r="N455" s="152">
        <f>K455*M455</f>
        <v>50.128</v>
      </c>
    </row>
    <row r="456" ht="77.25" customHeight="1" spans="1:7">
      <c r="A456" s="202" t="s">
        <v>225</v>
      </c>
      <c r="B456" s="203">
        <v>190</v>
      </c>
      <c r="D456" s="184"/>
      <c r="E456" s="183">
        <f>0.6*E454</f>
        <v>190.02</v>
      </c>
      <c r="F456" s="183">
        <f>0.6*F454</f>
        <v>145.5795</v>
      </c>
      <c r="G456" s="204"/>
    </row>
    <row r="457" ht="15.75"/>
    <row r="458" ht="51.75" spans="1:2">
      <c r="A458" s="205" t="s">
        <v>224</v>
      </c>
      <c r="B458" s="166">
        <f>B455</f>
        <v>316.7</v>
      </c>
    </row>
    <row r="459" spans="1:2">
      <c r="A459" s="542" t="s">
        <v>226</v>
      </c>
      <c r="B459" s="207">
        <f>AVERAGE(B407:B446)</f>
        <v>242.6325</v>
      </c>
    </row>
    <row r="460" spans="1:2">
      <c r="A460" s="543" t="s">
        <v>227</v>
      </c>
      <c r="B460" s="209">
        <f>AVERAGE(B412:B441)</f>
        <v>222.673333333333</v>
      </c>
    </row>
    <row r="461" ht="15.75" spans="1:2">
      <c r="A461" s="544" t="s">
        <v>228</v>
      </c>
      <c r="B461" s="211">
        <f>AVERAGE(B418:B436)</f>
        <v>216.947368421053</v>
      </c>
    </row>
  </sheetData>
  <mergeCells count="14">
    <mergeCell ref="B2:D2"/>
    <mergeCell ref="B69:D69"/>
    <mergeCell ref="B134:D134"/>
    <mergeCell ref="B200:D200"/>
    <mergeCell ref="B266:D266"/>
    <mergeCell ref="B333:D333"/>
    <mergeCell ref="B398:D398"/>
    <mergeCell ref="A2:A4"/>
    <mergeCell ref="A69:A71"/>
    <mergeCell ref="A134:A136"/>
    <mergeCell ref="A200:A202"/>
    <mergeCell ref="A266:A268"/>
    <mergeCell ref="A333:A335"/>
    <mergeCell ref="A398:A400"/>
  </mergeCells>
  <pageMargins left="0.7" right="0.7" top="0.75" bottom="0.75" header="0.3" footer="0.3"/>
  <pageSetup paperSize="9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Лист18">
    <tabColor rgb="FF92D050"/>
  </sheetPr>
  <dimension ref="A1:G459"/>
  <sheetViews>
    <sheetView topLeftCell="A461" workbookViewId="0">
      <selection activeCell="E225" sqref="E225:E226"/>
    </sheetView>
  </sheetViews>
  <sheetFormatPr defaultColWidth="9.18095238095238" defaultRowHeight="15" outlineLevelCol="6"/>
  <cols>
    <col min="1" max="1" width="13" style="152" customWidth="1"/>
    <col min="2" max="2" width="9.18095238095238" style="152"/>
    <col min="4" max="4" width="9.18095238095238" style="152"/>
    <col min="5" max="6" width="9.45714285714286" style="152" customWidth="1"/>
    <col min="7" max="16384" width="9.18095238095238" style="152"/>
  </cols>
  <sheetData>
    <row r="1" ht="15.75" spans="5:6">
      <c r="E1" s="153">
        <v>0.1</v>
      </c>
      <c r="F1" s="154">
        <v>0.4</v>
      </c>
    </row>
    <row r="2" ht="23.25" customHeight="1" spans="1:7">
      <c r="A2" s="155" t="s">
        <v>165</v>
      </c>
      <c r="B2" s="156" t="s">
        <v>166</v>
      </c>
      <c r="C2" s="157"/>
      <c r="D2" s="158"/>
      <c r="E2" s="159">
        <f>(1-E57)^(1/3)-1</f>
        <v>-0.029707112173376</v>
      </c>
      <c r="F2" s="160">
        <f>(1-F57)^(1/3)-1</f>
        <v>-0.029707112173376</v>
      </c>
      <c r="G2" s="161"/>
    </row>
    <row r="3" ht="77.25" spans="1:7">
      <c r="A3" s="162"/>
      <c r="B3" s="130" t="s">
        <v>167</v>
      </c>
      <c r="C3" s="72"/>
      <c r="D3" s="130" t="s">
        <v>168</v>
      </c>
      <c r="E3" s="130" t="s">
        <v>169</v>
      </c>
      <c r="F3" s="130" t="s">
        <v>169</v>
      </c>
      <c r="G3" s="130"/>
    </row>
    <row r="4" ht="26.25" spans="1:7">
      <c r="A4" s="163"/>
      <c r="B4" s="164" t="s">
        <v>170</v>
      </c>
      <c r="C4" s="72"/>
      <c r="D4" s="164" t="s">
        <v>171</v>
      </c>
      <c r="E4" s="538" t="s">
        <v>401</v>
      </c>
      <c r="F4" s="539" t="s">
        <v>402</v>
      </c>
      <c r="G4" s="166"/>
    </row>
    <row r="5" ht="15.75" spans="1:7">
      <c r="A5" s="167">
        <v>1</v>
      </c>
      <c r="B5" s="168">
        <v>2</v>
      </c>
      <c r="C5" s="76"/>
      <c r="D5" s="169">
        <v>3</v>
      </c>
      <c r="E5" s="170">
        <v>4</v>
      </c>
      <c r="F5" s="171">
        <v>5</v>
      </c>
      <c r="G5" s="170"/>
    </row>
    <row r="6" spans="1:7">
      <c r="A6" s="540" t="s">
        <v>172</v>
      </c>
      <c r="B6" s="173">
        <v>5.8</v>
      </c>
      <c r="C6" s="79">
        <v>0</v>
      </c>
      <c r="D6" s="174">
        <v>0</v>
      </c>
      <c r="E6" s="175">
        <v>0</v>
      </c>
      <c r="F6" s="175">
        <v>0</v>
      </c>
      <c r="G6" s="176">
        <v>0</v>
      </c>
    </row>
    <row r="7" spans="1:7">
      <c r="A7" s="541" t="s">
        <v>173</v>
      </c>
      <c r="B7" s="178">
        <v>7.2</v>
      </c>
      <c r="C7" s="79">
        <f>B6</f>
        <v>5.8</v>
      </c>
      <c r="D7" s="174">
        <v>0</v>
      </c>
      <c r="E7" s="179">
        <v>0</v>
      </c>
      <c r="F7" s="179">
        <v>0</v>
      </c>
      <c r="G7" s="180">
        <v>0</v>
      </c>
    </row>
    <row r="8" spans="1:7">
      <c r="A8" s="541" t="s">
        <v>174</v>
      </c>
      <c r="B8" s="178">
        <v>8.9</v>
      </c>
      <c r="C8" s="79">
        <f t="shared" ref="C8:C56" si="0">B7</f>
        <v>7.2</v>
      </c>
      <c r="D8" s="174">
        <v>0</v>
      </c>
      <c r="E8" s="179">
        <v>0</v>
      </c>
      <c r="F8" s="179">
        <v>0</v>
      </c>
      <c r="G8" s="180">
        <v>0</v>
      </c>
    </row>
    <row r="9" spans="1:7">
      <c r="A9" s="541" t="s">
        <v>175</v>
      </c>
      <c r="B9" s="178">
        <v>11.4</v>
      </c>
      <c r="C9" s="79">
        <f t="shared" si="0"/>
        <v>8.9</v>
      </c>
      <c r="D9" s="174">
        <v>0</v>
      </c>
      <c r="E9" s="179">
        <v>0</v>
      </c>
      <c r="F9" s="179">
        <v>0</v>
      </c>
      <c r="G9" s="180">
        <v>0</v>
      </c>
    </row>
    <row r="10" spans="1:7">
      <c r="A10" s="541" t="s">
        <v>176</v>
      </c>
      <c r="B10" s="178">
        <v>12.6</v>
      </c>
      <c r="C10" s="79">
        <f t="shared" si="0"/>
        <v>11.4</v>
      </c>
      <c r="D10" s="174">
        <v>0</v>
      </c>
      <c r="E10" s="179">
        <v>0</v>
      </c>
      <c r="F10" s="179">
        <v>0</v>
      </c>
      <c r="G10" s="180">
        <v>0</v>
      </c>
    </row>
    <row r="11" spans="1:7">
      <c r="A11" s="541" t="s">
        <v>177</v>
      </c>
      <c r="B11" s="178">
        <v>13.5</v>
      </c>
      <c r="C11" s="79">
        <f t="shared" si="0"/>
        <v>12.6</v>
      </c>
      <c r="D11" s="174">
        <v>0</v>
      </c>
      <c r="E11" s="179">
        <v>0</v>
      </c>
      <c r="F11" s="179">
        <v>0</v>
      </c>
      <c r="G11" s="180">
        <v>0</v>
      </c>
    </row>
    <row r="12" spans="1:7">
      <c r="A12" s="541" t="s">
        <v>178</v>
      </c>
      <c r="B12" s="178">
        <v>15</v>
      </c>
      <c r="C12" s="79">
        <f t="shared" si="0"/>
        <v>13.5</v>
      </c>
      <c r="D12" s="174">
        <v>0</v>
      </c>
      <c r="E12" s="179">
        <v>0</v>
      </c>
      <c r="F12" s="179">
        <v>0</v>
      </c>
      <c r="G12" s="180">
        <v>0</v>
      </c>
    </row>
    <row r="13" spans="1:7">
      <c r="A13" s="177" t="s">
        <v>179</v>
      </c>
      <c r="B13" s="178">
        <v>16.1</v>
      </c>
      <c r="C13" s="79">
        <f t="shared" si="0"/>
        <v>15</v>
      </c>
      <c r="D13" s="174">
        <v>0</v>
      </c>
      <c r="E13" s="179">
        <v>0</v>
      </c>
      <c r="F13" s="179">
        <v>0</v>
      </c>
      <c r="G13" s="180">
        <v>0</v>
      </c>
    </row>
    <row r="14" spans="1:7">
      <c r="A14" s="177" t="s">
        <v>180</v>
      </c>
      <c r="B14" s="178">
        <v>17.5</v>
      </c>
      <c r="C14" s="79">
        <f t="shared" si="0"/>
        <v>16.1</v>
      </c>
      <c r="D14" s="174">
        <v>0</v>
      </c>
      <c r="E14" s="179">
        <v>0</v>
      </c>
      <c r="F14" s="179">
        <v>0</v>
      </c>
      <c r="G14" s="180">
        <v>0</v>
      </c>
    </row>
    <row r="15" spans="1:7">
      <c r="A15" s="177" t="s">
        <v>181</v>
      </c>
      <c r="B15" s="178">
        <v>19.1</v>
      </c>
      <c r="C15" s="79">
        <f t="shared" si="0"/>
        <v>17.5</v>
      </c>
      <c r="D15" s="174">
        <v>0</v>
      </c>
      <c r="E15" s="179">
        <v>0</v>
      </c>
      <c r="F15" s="179">
        <v>0</v>
      </c>
      <c r="G15" s="180">
        <v>0</v>
      </c>
    </row>
    <row r="16" spans="1:7">
      <c r="A16" s="177" t="s">
        <v>182</v>
      </c>
      <c r="B16" s="178">
        <v>21.2</v>
      </c>
      <c r="C16" s="79">
        <f t="shared" si="0"/>
        <v>19.1</v>
      </c>
      <c r="D16" s="174">
        <v>0</v>
      </c>
      <c r="E16" s="179">
        <v>0</v>
      </c>
      <c r="F16" s="179">
        <v>0</v>
      </c>
      <c r="G16" s="180">
        <v>0</v>
      </c>
    </row>
    <row r="17" spans="1:7">
      <c r="A17" s="177" t="s">
        <v>183</v>
      </c>
      <c r="B17" s="178">
        <v>23.4</v>
      </c>
      <c r="C17" s="79">
        <f t="shared" si="0"/>
        <v>21.2</v>
      </c>
      <c r="D17" s="174">
        <v>0</v>
      </c>
      <c r="E17" s="179">
        <v>0</v>
      </c>
      <c r="F17" s="179">
        <v>0</v>
      </c>
      <c r="G17" s="180">
        <v>0</v>
      </c>
    </row>
    <row r="18" spans="1:7">
      <c r="A18" s="177" t="s">
        <v>184</v>
      </c>
      <c r="B18" s="178">
        <v>27</v>
      </c>
      <c r="C18" s="79">
        <f t="shared" si="0"/>
        <v>23.4</v>
      </c>
      <c r="D18" s="174">
        <v>0</v>
      </c>
      <c r="E18" s="179">
        <v>0</v>
      </c>
      <c r="F18" s="179">
        <v>0</v>
      </c>
      <c r="G18" s="180">
        <v>0</v>
      </c>
    </row>
    <row r="19" spans="1:7">
      <c r="A19" s="177" t="s">
        <v>185</v>
      </c>
      <c r="B19" s="178">
        <v>31</v>
      </c>
      <c r="C19" s="79">
        <f t="shared" si="0"/>
        <v>27</v>
      </c>
      <c r="D19" s="174">
        <v>0</v>
      </c>
      <c r="E19" s="179">
        <v>0</v>
      </c>
      <c r="F19" s="179">
        <v>0</v>
      </c>
      <c r="G19" s="180">
        <v>0</v>
      </c>
    </row>
    <row r="20" spans="1:7">
      <c r="A20" s="177" t="s">
        <v>186</v>
      </c>
      <c r="B20" s="178">
        <v>32.9</v>
      </c>
      <c r="C20" s="79">
        <f t="shared" si="0"/>
        <v>31</v>
      </c>
      <c r="D20" s="174">
        <v>0</v>
      </c>
      <c r="E20" s="179">
        <v>0</v>
      </c>
      <c r="F20" s="179">
        <v>0</v>
      </c>
      <c r="G20" s="180">
        <v>0</v>
      </c>
    </row>
    <row r="21" spans="1:7">
      <c r="A21" s="177" t="s">
        <v>187</v>
      </c>
      <c r="B21" s="178">
        <v>34.7</v>
      </c>
      <c r="C21" s="79">
        <f t="shared" si="0"/>
        <v>32.9</v>
      </c>
      <c r="D21" s="174">
        <v>0</v>
      </c>
      <c r="E21" s="179"/>
      <c r="F21" s="179">
        <v>0</v>
      </c>
      <c r="G21" s="180">
        <v>0.00412103746397696</v>
      </c>
    </row>
    <row r="22" spans="1:7">
      <c r="A22" s="177" t="s">
        <v>188</v>
      </c>
      <c r="B22" s="178">
        <v>37.3</v>
      </c>
      <c r="C22" s="79">
        <f t="shared" si="0"/>
        <v>34.7</v>
      </c>
      <c r="D22" s="174">
        <v>0.0283780160857909</v>
      </c>
      <c r="E22" s="179"/>
      <c r="F22" s="179">
        <v>0.00283780160857909</v>
      </c>
      <c r="G22" s="180">
        <v>0.0108042895442359</v>
      </c>
    </row>
    <row r="23" spans="1:7">
      <c r="A23" s="177" t="s">
        <v>189</v>
      </c>
      <c r="B23" s="178">
        <v>38.2</v>
      </c>
      <c r="C23" s="79">
        <f t="shared" si="0"/>
        <v>37.3</v>
      </c>
      <c r="D23" s="174">
        <v>0.0512696335078536</v>
      </c>
      <c r="E23" s="179"/>
      <c r="F23" s="179">
        <v>0.00512696335078536</v>
      </c>
      <c r="G23" s="180">
        <v>0.0129057591623037</v>
      </c>
    </row>
    <row r="24" spans="1:7">
      <c r="A24" s="177" t="s">
        <v>190</v>
      </c>
      <c r="B24" s="178">
        <v>39.1</v>
      </c>
      <c r="C24" s="79">
        <f t="shared" si="0"/>
        <v>38.2</v>
      </c>
      <c r="D24" s="174">
        <v>0.0731074168797956</v>
      </c>
      <c r="E24" s="179"/>
      <c r="F24" s="179">
        <v>0.00731074168797956</v>
      </c>
      <c r="G24" s="180">
        <v>0.0149104859335038</v>
      </c>
    </row>
    <row r="25" spans="1:7">
      <c r="A25" s="177" t="s">
        <v>191</v>
      </c>
      <c r="B25" s="178">
        <v>41.2</v>
      </c>
      <c r="C25" s="79">
        <f t="shared" si="0"/>
        <v>39.1</v>
      </c>
      <c r="D25" s="174">
        <v>0.120351941747573</v>
      </c>
      <c r="E25" s="179">
        <v>0.0120351941747573</v>
      </c>
      <c r="F25" s="179">
        <v>0.0120351941747573</v>
      </c>
      <c r="G25" s="180">
        <v>0.019247572815534</v>
      </c>
    </row>
    <row r="26" spans="1:7">
      <c r="A26" s="177" t="s">
        <v>192</v>
      </c>
      <c r="B26" s="178">
        <v>42.4</v>
      </c>
      <c r="C26" s="79">
        <f t="shared" si="0"/>
        <v>41.2</v>
      </c>
      <c r="D26" s="174">
        <v>0.145247641509434</v>
      </c>
      <c r="E26" s="179">
        <v>0.0145247641509434</v>
      </c>
      <c r="F26" s="179">
        <v>0.0145247641509434</v>
      </c>
      <c r="G26" s="180">
        <v>0.0215330188679245</v>
      </c>
    </row>
    <row r="27" spans="1:7">
      <c r="A27" s="177" t="s">
        <v>193</v>
      </c>
      <c r="B27" s="178">
        <v>44</v>
      </c>
      <c r="C27" s="79">
        <f t="shared" si="0"/>
        <v>42.4</v>
      </c>
      <c r="D27" s="174">
        <v>0.176329545454546</v>
      </c>
      <c r="E27" s="179">
        <v>0.0176329545454546</v>
      </c>
      <c r="F27" s="179">
        <v>0.0176329545454546</v>
      </c>
      <c r="G27" s="180">
        <v>0.0243863636363636</v>
      </c>
    </row>
    <row r="28" spans="1:7">
      <c r="A28" s="177" t="s">
        <v>194</v>
      </c>
      <c r="B28" s="178">
        <v>47.2</v>
      </c>
      <c r="C28" s="79">
        <f t="shared" si="0"/>
        <v>44</v>
      </c>
      <c r="D28" s="174">
        <v>0.232171610169492</v>
      </c>
      <c r="E28" s="179">
        <v>0.0232171610169492</v>
      </c>
      <c r="F28" s="179">
        <v>0.0232171610169492</v>
      </c>
      <c r="G28" s="180">
        <v>0.0295127118644068</v>
      </c>
    </row>
    <row r="29" spans="1:7">
      <c r="A29" s="177" t="s">
        <v>195</v>
      </c>
      <c r="B29" s="178">
        <v>51.3</v>
      </c>
      <c r="C29" s="79">
        <f t="shared" si="0"/>
        <v>47.2</v>
      </c>
      <c r="D29" s="174">
        <v>0.293538011695906</v>
      </c>
      <c r="E29" s="179">
        <v>0.0293538011695907</v>
      </c>
      <c r="F29" s="179">
        <v>0.0293538011695907</v>
      </c>
      <c r="G29" s="180">
        <v>0.0351461988304094</v>
      </c>
    </row>
    <row r="30" spans="1:7">
      <c r="A30" s="177" t="s">
        <v>196</v>
      </c>
      <c r="B30" s="178">
        <v>53.7</v>
      </c>
      <c r="C30" s="79">
        <f t="shared" si="0"/>
        <v>51.3</v>
      </c>
      <c r="D30" s="174">
        <v>0.325111731843576</v>
      </c>
      <c r="E30" s="179">
        <v>0.0325111731843576</v>
      </c>
      <c r="F30" s="179">
        <v>0.0325111731843576</v>
      </c>
      <c r="G30" s="180">
        <v>0.0380446927374302</v>
      </c>
    </row>
    <row r="31" spans="1:7">
      <c r="A31" s="177" t="s">
        <v>197</v>
      </c>
      <c r="B31" s="178">
        <v>55.4</v>
      </c>
      <c r="C31" s="79">
        <f t="shared" si="0"/>
        <v>53.7</v>
      </c>
      <c r="D31" s="174">
        <v>0.345821299638989</v>
      </c>
      <c r="E31" s="179">
        <v>0.0345821299638989</v>
      </c>
      <c r="F31" s="179">
        <v>0.0345821299638989</v>
      </c>
      <c r="G31" s="180">
        <v>0.0399458483754513</v>
      </c>
    </row>
    <row r="32" spans="1:7">
      <c r="A32" s="177" t="s">
        <v>198</v>
      </c>
      <c r="B32" s="178">
        <v>56.9</v>
      </c>
      <c r="C32" s="79">
        <f t="shared" si="0"/>
        <v>55.4</v>
      </c>
      <c r="D32" s="174">
        <v>0.363066783831283</v>
      </c>
      <c r="E32" s="179">
        <v>0.0363066783831283</v>
      </c>
      <c r="F32" s="179">
        <v>0.0363066783831283</v>
      </c>
      <c r="G32" s="180">
        <v>0.0491739894551846</v>
      </c>
    </row>
    <row r="33" spans="1:7">
      <c r="A33" s="177" t="s">
        <v>199</v>
      </c>
      <c r="B33" s="178">
        <v>59.4</v>
      </c>
      <c r="C33" s="79">
        <f t="shared" si="0"/>
        <v>56.9</v>
      </c>
      <c r="D33" s="174">
        <v>0.389873737373737</v>
      </c>
      <c r="E33" s="179">
        <v>0.0389873737373738</v>
      </c>
      <c r="F33" s="179">
        <v>0.0389873737373738</v>
      </c>
      <c r="G33" s="180">
        <v>0.063939393939394</v>
      </c>
    </row>
    <row r="34" spans="1:7">
      <c r="A34" s="177" t="s">
        <v>200</v>
      </c>
      <c r="B34" s="178">
        <v>61.3</v>
      </c>
      <c r="C34" s="79">
        <f t="shared" si="0"/>
        <v>59.4</v>
      </c>
      <c r="D34" s="174">
        <v>0.408784665579119</v>
      </c>
      <c r="E34" s="179">
        <v>0.0452707993474715</v>
      </c>
      <c r="F34" s="179">
        <v>0.0452707993474715</v>
      </c>
      <c r="G34" s="180">
        <v>0.0743556280587276</v>
      </c>
    </row>
    <row r="35" spans="1:7">
      <c r="A35" s="177" t="s">
        <v>201</v>
      </c>
      <c r="B35" s="178">
        <v>63</v>
      </c>
      <c r="C35" s="79">
        <f t="shared" si="0"/>
        <v>61.3</v>
      </c>
      <c r="D35" s="174">
        <v>0.424738095238095</v>
      </c>
      <c r="E35" s="179">
        <v>0.0548428571428572</v>
      </c>
      <c r="F35" s="179">
        <v>0.0548428571428572</v>
      </c>
      <c r="G35" s="180">
        <v>0.0831428571428572</v>
      </c>
    </row>
    <row r="36" spans="1:7">
      <c r="A36" s="177" t="s">
        <v>202</v>
      </c>
      <c r="B36" s="178">
        <v>64.7</v>
      </c>
      <c r="C36" s="79">
        <f t="shared" si="0"/>
        <v>63</v>
      </c>
      <c r="D36" s="174">
        <v>0.439853168469861</v>
      </c>
      <c r="E36" s="179">
        <v>0.0639119010819166</v>
      </c>
      <c r="F36" s="179">
        <v>0.0639119010819166</v>
      </c>
      <c r="G36" s="180">
        <v>0.0914683153013911</v>
      </c>
    </row>
    <row r="37" spans="1:7">
      <c r="A37" s="177" t="s">
        <v>203</v>
      </c>
      <c r="B37" s="178">
        <v>65.8</v>
      </c>
      <c r="C37" s="79">
        <f t="shared" si="0"/>
        <v>64.7</v>
      </c>
      <c r="D37" s="174">
        <v>0.449217325227964</v>
      </c>
      <c r="E37" s="179">
        <v>0.0695303951367782</v>
      </c>
      <c r="F37" s="179">
        <v>0.0695303951367782</v>
      </c>
      <c r="G37" s="180">
        <v>0.0966261398176292</v>
      </c>
    </row>
    <row r="38" spans="1:7">
      <c r="A38" s="177" t="s">
        <v>204</v>
      </c>
      <c r="B38" s="178">
        <v>69.1</v>
      </c>
      <c r="C38" s="79">
        <f t="shared" si="0"/>
        <v>65.8</v>
      </c>
      <c r="D38" s="174">
        <v>0.475520984081042</v>
      </c>
      <c r="E38" s="179">
        <v>0.0853125904486252</v>
      </c>
      <c r="F38" s="179">
        <v>0.0853125904486252</v>
      </c>
      <c r="G38" s="180">
        <v>0.111114327062229</v>
      </c>
    </row>
    <row r="39" spans="1:7">
      <c r="A39" s="177" t="s">
        <v>205</v>
      </c>
      <c r="B39" s="178">
        <v>72.8</v>
      </c>
      <c r="C39" s="79">
        <f t="shared" si="0"/>
        <v>69.1</v>
      </c>
      <c r="D39" s="174">
        <v>0.502177197802198</v>
      </c>
      <c r="E39" s="179">
        <v>0.101306318681319</v>
      </c>
      <c r="F39" s="179">
        <v>0.101306318681319</v>
      </c>
      <c r="G39" s="180">
        <v>0.125796703296703</v>
      </c>
    </row>
    <row r="40" spans="1:7">
      <c r="A40" s="177" t="s">
        <v>206</v>
      </c>
      <c r="B40" s="178">
        <v>79.4</v>
      </c>
      <c r="C40" s="79">
        <f t="shared" si="0"/>
        <v>72.8</v>
      </c>
      <c r="D40" s="174">
        <v>0.543557934508816</v>
      </c>
      <c r="E40" s="179">
        <v>0.12613476070529</v>
      </c>
      <c r="F40" s="179">
        <v>0.12613476070529</v>
      </c>
      <c r="G40" s="180">
        <v>0.148589420654912</v>
      </c>
    </row>
    <row r="41" spans="1:7">
      <c r="A41" s="177" t="s">
        <v>207</v>
      </c>
      <c r="B41" s="178">
        <v>81.8</v>
      </c>
      <c r="C41" s="79">
        <f t="shared" si="0"/>
        <v>79.4</v>
      </c>
      <c r="D41" s="174">
        <v>0.556949877750611</v>
      </c>
      <c r="E41" s="179">
        <v>0.134169926650367</v>
      </c>
      <c r="F41" s="179">
        <v>0.134169926650367</v>
      </c>
      <c r="G41" s="180">
        <v>0.155965770171149</v>
      </c>
    </row>
    <row r="42" spans="1:7">
      <c r="A42" s="177" t="s">
        <v>208</v>
      </c>
      <c r="B42" s="178">
        <v>83.9</v>
      </c>
      <c r="C42" s="79">
        <f t="shared" si="0"/>
        <v>81.8</v>
      </c>
      <c r="D42" s="174">
        <v>0.568039332538737</v>
      </c>
      <c r="E42" s="179">
        <v>0.140823599523242</v>
      </c>
      <c r="F42" s="179">
        <v>0.140823599523242</v>
      </c>
      <c r="G42" s="180">
        <v>0.16207389749702</v>
      </c>
    </row>
    <row r="43" spans="1:7">
      <c r="A43" s="177" t="s">
        <v>209</v>
      </c>
      <c r="B43" s="178">
        <v>89.6</v>
      </c>
      <c r="C43" s="79">
        <f t="shared" si="0"/>
        <v>83.9</v>
      </c>
      <c r="D43" s="174">
        <v>0.595518973214286</v>
      </c>
      <c r="E43" s="179">
        <v>0.157311383928571</v>
      </c>
      <c r="F43" s="179">
        <v>0.157311383928571</v>
      </c>
      <c r="G43" s="180">
        <v>0.177209821428571</v>
      </c>
    </row>
    <row r="44" spans="1:7">
      <c r="A44" s="177" t="s">
        <v>210</v>
      </c>
      <c r="B44" s="178">
        <v>96.6</v>
      </c>
      <c r="C44" s="79">
        <f t="shared" si="0"/>
        <v>89.6</v>
      </c>
      <c r="D44" s="174">
        <v>0.624829192546584</v>
      </c>
      <c r="E44" s="179">
        <v>0.17489751552795</v>
      </c>
      <c r="F44" s="179">
        <v>0.17489751552795</v>
      </c>
      <c r="G44" s="180">
        <v>0.193354037267081</v>
      </c>
    </row>
    <row r="45" spans="1:7">
      <c r="A45" s="177" t="s">
        <v>211</v>
      </c>
      <c r="B45" s="178">
        <v>99.2</v>
      </c>
      <c r="C45" s="79">
        <f t="shared" si="0"/>
        <v>96.6</v>
      </c>
      <c r="D45" s="174">
        <v>0.634662298387097</v>
      </c>
      <c r="E45" s="179">
        <v>0.180797379032258</v>
      </c>
      <c r="F45" s="179">
        <v>0.180797379032258</v>
      </c>
      <c r="G45" s="180">
        <v>0.198770161290323</v>
      </c>
    </row>
    <row r="46" spans="1:7">
      <c r="A46" s="177" t="s">
        <v>212</v>
      </c>
      <c r="B46" s="178">
        <v>106.7</v>
      </c>
      <c r="C46" s="79">
        <f t="shared" si="0"/>
        <v>99.2</v>
      </c>
      <c r="D46" s="174">
        <v>0.660342080599813</v>
      </c>
      <c r="E46" s="179">
        <v>0.196205248359888</v>
      </c>
      <c r="F46" s="179">
        <v>0.196205248359888</v>
      </c>
      <c r="G46" s="180">
        <v>0.212914714151828</v>
      </c>
    </row>
    <row r="47" spans="1:7">
      <c r="A47" s="177" t="s">
        <v>213</v>
      </c>
      <c r="B47" s="178">
        <v>121</v>
      </c>
      <c r="C47" s="79">
        <f t="shared" si="0"/>
        <v>106.7</v>
      </c>
      <c r="D47" s="174">
        <v>0.70048347107438</v>
      </c>
      <c r="E47" s="179">
        <v>0.220290082644628</v>
      </c>
      <c r="F47" s="179">
        <v>0.220290082644628</v>
      </c>
      <c r="G47" s="180">
        <v>0.23502479338843</v>
      </c>
    </row>
    <row r="48" spans="1:7">
      <c r="A48" s="177" t="s">
        <v>214</v>
      </c>
      <c r="B48" s="178">
        <v>135.5</v>
      </c>
      <c r="C48" s="79">
        <f t="shared" si="0"/>
        <v>121</v>
      </c>
      <c r="D48" s="174">
        <v>0.732535055350554</v>
      </c>
      <c r="E48" s="179">
        <v>0.239521033210332</v>
      </c>
      <c r="F48" s="179">
        <v>0.239521033210332</v>
      </c>
      <c r="G48" s="180">
        <v>0.252678966789668</v>
      </c>
    </row>
    <row r="49" spans="1:7">
      <c r="A49" s="177" t="s">
        <v>215</v>
      </c>
      <c r="B49" s="178">
        <v>146.6</v>
      </c>
      <c r="C49" s="79">
        <f t="shared" si="0"/>
        <v>135.5</v>
      </c>
      <c r="D49" s="174">
        <v>0.752786493860846</v>
      </c>
      <c r="E49" s="179">
        <v>0.251671896316508</v>
      </c>
      <c r="F49" s="179">
        <v>0.251671896316508</v>
      </c>
      <c r="G49" s="180">
        <v>0.263833560709413</v>
      </c>
    </row>
    <row r="50" spans="1:7">
      <c r="A50" s="177" t="s">
        <v>216</v>
      </c>
      <c r="B50" s="178">
        <v>161.6</v>
      </c>
      <c r="C50" s="79">
        <f t="shared" si="0"/>
        <v>146.6</v>
      </c>
      <c r="D50" s="174">
        <v>0.775733292079208</v>
      </c>
      <c r="E50" s="179">
        <v>0.265439975247525</v>
      </c>
      <c r="F50" s="179">
        <v>0.265439975247525</v>
      </c>
      <c r="G50" s="180">
        <v>0.276472772277228</v>
      </c>
    </row>
    <row r="51" spans="1:7">
      <c r="A51" s="177" t="s">
        <v>217</v>
      </c>
      <c r="B51" s="178">
        <v>194</v>
      </c>
      <c r="C51" s="79">
        <f t="shared" si="0"/>
        <v>161.6</v>
      </c>
      <c r="D51" s="174">
        <v>0.813188144329897</v>
      </c>
      <c r="E51" s="179">
        <v>0.287912886597938</v>
      </c>
      <c r="F51" s="179">
        <v>0.287912886597938</v>
      </c>
      <c r="G51" s="180">
        <v>0.297103092783505</v>
      </c>
    </row>
    <row r="52" spans="1:7">
      <c r="A52" s="177" t="s">
        <v>218</v>
      </c>
      <c r="B52" s="178">
        <v>237.3</v>
      </c>
      <c r="C52" s="79">
        <f t="shared" si="0"/>
        <v>194</v>
      </c>
      <c r="D52" s="174">
        <v>0.847275600505689</v>
      </c>
      <c r="E52" s="179">
        <v>0.308365360303413</v>
      </c>
      <c r="F52" s="179">
        <v>0.308365360303413</v>
      </c>
      <c r="G52" s="180">
        <v>0.315878634639697</v>
      </c>
    </row>
    <row r="53" spans="1:7">
      <c r="A53" s="177" t="s">
        <v>219</v>
      </c>
      <c r="B53" s="178">
        <v>256.1</v>
      </c>
      <c r="C53" s="79">
        <f t="shared" si="0"/>
        <v>237.3</v>
      </c>
      <c r="D53" s="174">
        <v>0.858486919172198</v>
      </c>
      <c r="E53" s="179">
        <v>0.315092151503319</v>
      </c>
      <c r="F53" s="179">
        <v>0.315092151503319</v>
      </c>
      <c r="G53" s="180">
        <v>0.322053885201093</v>
      </c>
    </row>
    <row r="54" spans="1:7">
      <c r="A54" s="177" t="s">
        <v>220</v>
      </c>
      <c r="B54" s="178">
        <v>274.7</v>
      </c>
      <c r="C54" s="79">
        <f t="shared" si="0"/>
        <v>256.1</v>
      </c>
      <c r="D54" s="174">
        <v>0.868068802329814</v>
      </c>
      <c r="E54" s="179">
        <v>0.320841281397889</v>
      </c>
      <c r="F54" s="179">
        <v>0.320841281397889</v>
      </c>
      <c r="G54" s="180">
        <v>0.327331634510375</v>
      </c>
    </row>
    <row r="55" spans="1:7">
      <c r="A55" s="177" t="s">
        <v>221</v>
      </c>
      <c r="B55" s="178">
        <v>314.8</v>
      </c>
      <c r="C55" s="79">
        <f t="shared" si="0"/>
        <v>274.7</v>
      </c>
      <c r="D55" s="174">
        <v>0.884874523506989</v>
      </c>
      <c r="E55" s="179">
        <v>0.330924714104193</v>
      </c>
      <c r="F55" s="179">
        <v>0.330924714104193</v>
      </c>
      <c r="G55" s="180">
        <v>0.336588310038119</v>
      </c>
    </row>
    <row r="56" ht="15.75" spans="1:7">
      <c r="A56" s="181" t="s">
        <v>221</v>
      </c>
      <c r="B56" s="182" t="s">
        <v>417</v>
      </c>
      <c r="C56" s="79">
        <f t="shared" si="0"/>
        <v>314.8</v>
      </c>
      <c r="D56" s="183"/>
      <c r="E56" s="184"/>
      <c r="F56" s="184"/>
      <c r="G56" s="185"/>
    </row>
    <row r="57" ht="15.75" spans="1:7">
      <c r="A57" s="186"/>
      <c r="B57" s="187"/>
      <c r="C57" s="82"/>
      <c r="D57" s="188"/>
      <c r="E57" s="189">
        <v>0.0865000158773215</v>
      </c>
      <c r="F57" s="189">
        <v>0.0865000158773215</v>
      </c>
      <c r="G57" s="190">
        <v>0.0964403761220814</v>
      </c>
    </row>
    <row r="58" ht="51" customHeight="1" spans="1:7">
      <c r="A58" s="191" t="s">
        <v>233</v>
      </c>
      <c r="B58" s="192">
        <v>41</v>
      </c>
      <c r="C58" s="82"/>
      <c r="D58" s="193"/>
      <c r="E58" s="194">
        <v>60.4025</v>
      </c>
      <c r="F58" s="195">
        <v>60.4025</v>
      </c>
      <c r="G58" s="196">
        <v>55.45</v>
      </c>
    </row>
    <row r="59" ht="51.75" customHeight="1" spans="1:7">
      <c r="A59" s="197" t="s">
        <v>224</v>
      </c>
      <c r="B59" s="198">
        <v>71</v>
      </c>
      <c r="C59" s="82"/>
      <c r="D59" s="199"/>
      <c r="E59" s="200"/>
      <c r="F59" s="200"/>
      <c r="G59" s="201"/>
    </row>
    <row r="60" ht="75.75" customHeight="1" spans="1:7">
      <c r="A60" s="202" t="s">
        <v>225</v>
      </c>
      <c r="B60" s="203">
        <v>20.1</v>
      </c>
      <c r="C60" s="78"/>
      <c r="D60" s="184"/>
      <c r="E60" s="183">
        <v>36.2415</v>
      </c>
      <c r="F60" s="183">
        <v>36.2415</v>
      </c>
      <c r="G60" s="204">
        <v>33.27</v>
      </c>
    </row>
    <row r="61" ht="15.75"/>
    <row r="62" ht="53.25" customHeight="1" spans="1:2">
      <c r="A62" s="205" t="s">
        <v>224</v>
      </c>
      <c r="B62" s="166">
        <f>B59</f>
        <v>71</v>
      </c>
    </row>
    <row r="63" spans="1:3">
      <c r="A63" s="542" t="s">
        <v>226</v>
      </c>
      <c r="B63" s="207">
        <f>AVERAGE(B11:B50)</f>
        <v>60.4025</v>
      </c>
      <c r="C63" s="95"/>
    </row>
    <row r="64" spans="1:3">
      <c r="A64" s="543" t="s">
        <v>227</v>
      </c>
      <c r="B64" s="209">
        <f>AVERAGE(B16:B45)</f>
        <v>55.45</v>
      </c>
      <c r="C64" s="96"/>
    </row>
    <row r="65" ht="15.75" spans="1:3">
      <c r="A65" s="544" t="s">
        <v>228</v>
      </c>
      <c r="B65" s="211">
        <f>AVERAGE(B22:B40)</f>
        <v>54.8526315789474</v>
      </c>
      <c r="C65" s="96"/>
    </row>
    <row r="68" ht="15.75"/>
    <row r="69" ht="37.5" customHeight="1" spans="1:7">
      <c r="A69" s="155" t="s">
        <v>165</v>
      </c>
      <c r="B69" s="156" t="s">
        <v>229</v>
      </c>
      <c r="C69" s="157"/>
      <c r="D69" s="158"/>
      <c r="E69" s="159">
        <f>(1-E124)^(1/3)-1</f>
        <v>-0.0235715038533126</v>
      </c>
      <c r="F69" s="160">
        <f>(1-F124)^(1/3)-1</f>
        <v>-0.0235715038533126</v>
      </c>
      <c r="G69" s="161"/>
    </row>
    <row r="70" ht="77.25" spans="1:7">
      <c r="A70" s="162"/>
      <c r="B70" s="130" t="s">
        <v>167</v>
      </c>
      <c r="C70" s="83"/>
      <c r="D70" s="130" t="s">
        <v>168</v>
      </c>
      <c r="E70" s="130" t="s">
        <v>169</v>
      </c>
      <c r="F70" s="130" t="s">
        <v>169</v>
      </c>
      <c r="G70" s="130"/>
    </row>
    <row r="71" ht="26.25" spans="1:7">
      <c r="A71" s="163"/>
      <c r="B71" s="164" t="s">
        <v>230</v>
      </c>
      <c r="C71" s="83"/>
      <c r="D71" s="164" t="s">
        <v>171</v>
      </c>
      <c r="E71" s="538" t="s">
        <v>401</v>
      </c>
      <c r="F71" s="539" t="s">
        <v>402</v>
      </c>
      <c r="G71" s="166"/>
    </row>
    <row r="72" ht="15.75" spans="1:7">
      <c r="A72" s="167">
        <v>1</v>
      </c>
      <c r="B72" s="212">
        <v>2</v>
      </c>
      <c r="C72" s="76"/>
      <c r="D72" s="131">
        <v>3</v>
      </c>
      <c r="E72" s="169">
        <v>4</v>
      </c>
      <c r="F72" s="131">
        <v>5</v>
      </c>
      <c r="G72" s="169"/>
    </row>
    <row r="73" spans="1:7">
      <c r="A73" s="545" t="s">
        <v>172</v>
      </c>
      <c r="B73" s="214">
        <v>22.8</v>
      </c>
      <c r="C73" s="102">
        <v>0</v>
      </c>
      <c r="D73" s="174">
        <v>0</v>
      </c>
      <c r="E73" s="175">
        <v>0</v>
      </c>
      <c r="F73" s="175">
        <v>0</v>
      </c>
      <c r="G73" s="176">
        <v>0</v>
      </c>
    </row>
    <row r="74" spans="1:7">
      <c r="A74" s="546" t="s">
        <v>173</v>
      </c>
      <c r="B74" s="216">
        <v>24.9</v>
      </c>
      <c r="C74" s="79">
        <f>B73</f>
        <v>22.8</v>
      </c>
      <c r="D74" s="174">
        <v>0</v>
      </c>
      <c r="E74" s="179">
        <v>0</v>
      </c>
      <c r="F74" s="179">
        <v>0</v>
      </c>
      <c r="G74" s="180">
        <v>0</v>
      </c>
    </row>
    <row r="75" spans="1:7">
      <c r="A75" s="546" t="s">
        <v>174</v>
      </c>
      <c r="B75" s="216">
        <v>25.4</v>
      </c>
      <c r="C75" s="79">
        <f t="shared" ref="C75:C123" si="1">B74</f>
        <v>24.9</v>
      </c>
      <c r="D75" s="174">
        <v>0</v>
      </c>
      <c r="E75" s="179">
        <v>0</v>
      </c>
      <c r="F75" s="179">
        <v>0</v>
      </c>
      <c r="G75" s="180">
        <v>0</v>
      </c>
    </row>
    <row r="76" spans="1:7">
      <c r="A76" s="546" t="s">
        <v>175</v>
      </c>
      <c r="B76" s="216">
        <v>26.8</v>
      </c>
      <c r="C76" s="79">
        <f t="shared" si="1"/>
        <v>25.4</v>
      </c>
      <c r="D76" s="174">
        <v>0</v>
      </c>
      <c r="E76" s="179">
        <v>0</v>
      </c>
      <c r="F76" s="179">
        <v>0</v>
      </c>
      <c r="G76" s="180">
        <v>0</v>
      </c>
    </row>
    <row r="77" spans="1:7">
      <c r="A77" s="546" t="s">
        <v>176</v>
      </c>
      <c r="B77" s="216">
        <v>29.2</v>
      </c>
      <c r="C77" s="79">
        <f t="shared" si="1"/>
        <v>26.8</v>
      </c>
      <c r="D77" s="174">
        <v>0</v>
      </c>
      <c r="E77" s="179">
        <v>0</v>
      </c>
      <c r="F77" s="179">
        <v>0</v>
      </c>
      <c r="G77" s="180">
        <v>0</v>
      </c>
    </row>
    <row r="78" spans="1:7">
      <c r="A78" s="546" t="s">
        <v>177</v>
      </c>
      <c r="B78" s="216">
        <v>31.4</v>
      </c>
      <c r="C78" s="79">
        <f t="shared" si="1"/>
        <v>29.2</v>
      </c>
      <c r="D78" s="174">
        <v>0.00765923566879017</v>
      </c>
      <c r="E78" s="179"/>
      <c r="F78" s="179">
        <v>0.000765923566879018</v>
      </c>
      <c r="G78" s="180">
        <v>0.00243312101910831</v>
      </c>
    </row>
    <row r="79" spans="1:7">
      <c r="A79" s="546" t="s">
        <v>178</v>
      </c>
      <c r="B79" s="216">
        <v>33.3</v>
      </c>
      <c r="C79" s="79">
        <f t="shared" si="1"/>
        <v>31.4</v>
      </c>
      <c r="D79" s="174">
        <v>0.0642792792792796</v>
      </c>
      <c r="E79" s="179"/>
      <c r="F79" s="179">
        <v>0.00642792792792796</v>
      </c>
      <c r="G79" s="180">
        <v>0.00800000000000003</v>
      </c>
    </row>
    <row r="80" spans="1:7">
      <c r="A80" s="215" t="s">
        <v>179</v>
      </c>
      <c r="B80" s="216">
        <v>33.9</v>
      </c>
      <c r="C80" s="79">
        <f t="shared" si="1"/>
        <v>33.3</v>
      </c>
      <c r="D80" s="174">
        <v>0.0808407079646021</v>
      </c>
      <c r="E80" s="179"/>
      <c r="F80" s="179">
        <v>0.00808407079646021</v>
      </c>
      <c r="G80" s="180">
        <v>0.00962831858407083</v>
      </c>
    </row>
    <row r="81" spans="1:7">
      <c r="A81" s="215" t="s">
        <v>180</v>
      </c>
      <c r="B81" s="216">
        <v>34.7</v>
      </c>
      <c r="C81" s="79">
        <f t="shared" si="1"/>
        <v>33.9</v>
      </c>
      <c r="D81" s="174">
        <v>0.102031700288185</v>
      </c>
      <c r="E81" s="179">
        <v>0.0102031700288185</v>
      </c>
      <c r="F81" s="179">
        <v>0.0102031700288185</v>
      </c>
      <c r="G81" s="180">
        <v>0.0117118155619597</v>
      </c>
    </row>
    <row r="82" spans="1:7">
      <c r="A82" s="215" t="s">
        <v>181</v>
      </c>
      <c r="B82" s="216">
        <v>36.1</v>
      </c>
      <c r="C82" s="79">
        <f t="shared" si="1"/>
        <v>34.7</v>
      </c>
      <c r="D82" s="174">
        <v>0.136855955678671</v>
      </c>
      <c r="E82" s="179">
        <v>0.0136855955678671</v>
      </c>
      <c r="F82" s="179">
        <v>0.0136855955678671</v>
      </c>
      <c r="G82" s="180">
        <v>0.0151357340720222</v>
      </c>
    </row>
    <row r="83" spans="1:7">
      <c r="A83" s="215" t="s">
        <v>182</v>
      </c>
      <c r="B83" s="216">
        <v>36.5</v>
      </c>
      <c r="C83" s="79">
        <f t="shared" si="1"/>
        <v>36.1</v>
      </c>
      <c r="D83" s="174">
        <v>0.146315068493151</v>
      </c>
      <c r="E83" s="179">
        <v>0.0146315068493151</v>
      </c>
      <c r="F83" s="179">
        <v>0.0146315068493151</v>
      </c>
      <c r="G83" s="180">
        <v>0.0160657534246576</v>
      </c>
    </row>
    <row r="84" spans="1:7">
      <c r="A84" s="215" t="s">
        <v>183</v>
      </c>
      <c r="B84" s="216">
        <v>37.8</v>
      </c>
      <c r="C84" s="79">
        <f t="shared" si="1"/>
        <v>36.5</v>
      </c>
      <c r="D84" s="174">
        <v>0.175674603174603</v>
      </c>
      <c r="E84" s="179">
        <v>0.0175674603174603</v>
      </c>
      <c r="F84" s="179">
        <v>0.0175674603174603</v>
      </c>
      <c r="G84" s="180">
        <v>0.018952380952381</v>
      </c>
    </row>
    <row r="85" spans="1:7">
      <c r="A85" s="215" t="s">
        <v>184</v>
      </c>
      <c r="B85" s="216">
        <v>38.2</v>
      </c>
      <c r="C85" s="79">
        <f t="shared" si="1"/>
        <v>37.8</v>
      </c>
      <c r="D85" s="174">
        <v>0.184306282722513</v>
      </c>
      <c r="E85" s="179">
        <v>0.0184306282722514</v>
      </c>
      <c r="F85" s="179">
        <v>0.0184306282722514</v>
      </c>
      <c r="G85" s="180">
        <v>0.0198010471204189</v>
      </c>
    </row>
    <row r="86" spans="1:7">
      <c r="A86" s="215" t="s">
        <v>185</v>
      </c>
      <c r="B86" s="216">
        <v>39.3</v>
      </c>
      <c r="C86" s="79">
        <f t="shared" si="1"/>
        <v>38.2</v>
      </c>
      <c r="D86" s="174">
        <v>0.207137404580153</v>
      </c>
      <c r="E86" s="179">
        <v>0.0207137404580153</v>
      </c>
      <c r="F86" s="179">
        <v>0.0207137404580153</v>
      </c>
      <c r="G86" s="180">
        <v>0.0220458015267176</v>
      </c>
    </row>
    <row r="87" spans="1:7">
      <c r="A87" s="215" t="s">
        <v>186</v>
      </c>
      <c r="B87" s="216">
        <v>39.9</v>
      </c>
      <c r="C87" s="79">
        <f t="shared" si="1"/>
        <v>39.3</v>
      </c>
      <c r="D87" s="174">
        <v>0.21906015037594</v>
      </c>
      <c r="E87" s="179">
        <v>0.021906015037594</v>
      </c>
      <c r="F87" s="179">
        <v>0.021906015037594</v>
      </c>
      <c r="G87" s="180">
        <v>0.023218045112782</v>
      </c>
    </row>
    <row r="88" spans="1:7">
      <c r="A88" s="215" t="s">
        <v>187</v>
      </c>
      <c r="B88" s="216">
        <v>40.3</v>
      </c>
      <c r="C88" s="79">
        <f t="shared" si="1"/>
        <v>39.9</v>
      </c>
      <c r="D88" s="174">
        <v>0.22681141439206</v>
      </c>
      <c r="E88" s="179">
        <v>0.022681141439206</v>
      </c>
      <c r="F88" s="179">
        <v>0.022681141439206</v>
      </c>
      <c r="G88" s="180">
        <v>0.0239801488833747</v>
      </c>
    </row>
    <row r="89" spans="1:7">
      <c r="A89" s="215" t="s">
        <v>188</v>
      </c>
      <c r="B89" s="216">
        <v>40.9</v>
      </c>
      <c r="C89" s="79">
        <f t="shared" si="1"/>
        <v>40.3</v>
      </c>
      <c r="D89" s="174">
        <v>0.238154034229829</v>
      </c>
      <c r="E89" s="179">
        <v>0.0238154034229829</v>
      </c>
      <c r="F89" s="179">
        <v>0.0238154034229829</v>
      </c>
      <c r="G89" s="180">
        <v>0.0250953545232274</v>
      </c>
    </row>
    <row r="90" spans="1:7">
      <c r="A90" s="215" t="s">
        <v>189</v>
      </c>
      <c r="B90" s="216">
        <v>41.4</v>
      </c>
      <c r="C90" s="79">
        <f t="shared" si="1"/>
        <v>40.9</v>
      </c>
      <c r="D90" s="174">
        <v>0.247355072463768</v>
      </c>
      <c r="E90" s="179">
        <v>0.0247355072463768</v>
      </c>
      <c r="F90" s="179">
        <v>0.0247355072463768</v>
      </c>
      <c r="G90" s="180">
        <v>0.026</v>
      </c>
    </row>
    <row r="91" spans="1:7">
      <c r="A91" s="215" t="s">
        <v>190</v>
      </c>
      <c r="B91" s="216">
        <v>42</v>
      </c>
      <c r="C91" s="79">
        <f t="shared" si="1"/>
        <v>41.4</v>
      </c>
      <c r="D91" s="174">
        <v>0.258107142857143</v>
      </c>
      <c r="E91" s="179">
        <v>0.0258107142857143</v>
      </c>
      <c r="F91" s="179">
        <v>0.0258107142857143</v>
      </c>
      <c r="G91" s="180">
        <v>0.0270571428571429</v>
      </c>
    </row>
    <row r="92" spans="1:7">
      <c r="A92" s="215" t="s">
        <v>191</v>
      </c>
      <c r="B92" s="216">
        <v>43.2</v>
      </c>
      <c r="C92" s="79">
        <f t="shared" si="1"/>
        <v>42</v>
      </c>
      <c r="D92" s="174">
        <v>0.278715277777778</v>
      </c>
      <c r="E92" s="179">
        <v>0.0278715277777778</v>
      </c>
      <c r="F92" s="179">
        <v>0.0278715277777778</v>
      </c>
      <c r="G92" s="180">
        <v>0.0290833333333334</v>
      </c>
    </row>
    <row r="93" spans="1:7">
      <c r="A93" s="215" t="s">
        <v>192</v>
      </c>
      <c r="B93" s="216">
        <v>44.4</v>
      </c>
      <c r="C93" s="79">
        <f t="shared" si="1"/>
        <v>43.2</v>
      </c>
      <c r="D93" s="174">
        <v>0.29820945945946</v>
      </c>
      <c r="E93" s="179">
        <v>0.029820945945946</v>
      </c>
      <c r="F93" s="179">
        <v>0.029820945945946</v>
      </c>
      <c r="G93" s="180">
        <v>0.031</v>
      </c>
    </row>
    <row r="94" spans="1:7">
      <c r="A94" s="215" t="s">
        <v>193</v>
      </c>
      <c r="B94" s="216">
        <v>46.5</v>
      </c>
      <c r="C94" s="79">
        <f t="shared" si="1"/>
        <v>44.4</v>
      </c>
      <c r="D94" s="174">
        <v>0.329903225806452</v>
      </c>
      <c r="E94" s="179">
        <v>0.0329903225806452</v>
      </c>
      <c r="F94" s="179">
        <v>0.0329903225806452</v>
      </c>
      <c r="G94" s="180">
        <v>0.0341161290322581</v>
      </c>
    </row>
    <row r="95" spans="1:7">
      <c r="A95" s="215" t="s">
        <v>194</v>
      </c>
      <c r="B95" s="216">
        <v>48</v>
      </c>
      <c r="C95" s="79">
        <f t="shared" si="1"/>
        <v>46.5</v>
      </c>
      <c r="D95" s="174">
        <v>0.35084375</v>
      </c>
      <c r="E95" s="179">
        <v>0.035084375</v>
      </c>
      <c r="F95" s="179">
        <v>0.035084375</v>
      </c>
      <c r="G95" s="180">
        <v>0.036175</v>
      </c>
    </row>
    <row r="96" spans="1:7">
      <c r="A96" s="215" t="s">
        <v>195</v>
      </c>
      <c r="B96" s="216">
        <v>48.8</v>
      </c>
      <c r="C96" s="79">
        <f t="shared" si="1"/>
        <v>48</v>
      </c>
      <c r="D96" s="174">
        <v>0.361485655737705</v>
      </c>
      <c r="E96" s="179">
        <v>0.0361485655737705</v>
      </c>
      <c r="F96" s="179">
        <v>0.0361485655737705</v>
      </c>
      <c r="G96" s="180">
        <v>0.0372213114754099</v>
      </c>
    </row>
    <row r="97" spans="1:7">
      <c r="A97" s="215" t="s">
        <v>196</v>
      </c>
      <c r="B97" s="216">
        <v>49.8</v>
      </c>
      <c r="C97" s="79">
        <f t="shared" si="1"/>
        <v>48.8</v>
      </c>
      <c r="D97" s="174">
        <v>0.374307228915663</v>
      </c>
      <c r="E97" s="179">
        <v>0.0374307228915663</v>
      </c>
      <c r="F97" s="179">
        <v>0.0374307228915663</v>
      </c>
      <c r="G97" s="180">
        <v>0.0384819277108434</v>
      </c>
    </row>
    <row r="98" spans="1:7">
      <c r="A98" s="215" t="s">
        <v>197</v>
      </c>
      <c r="B98" s="216">
        <v>50.6</v>
      </c>
      <c r="C98" s="79">
        <f t="shared" si="1"/>
        <v>49.8</v>
      </c>
      <c r="D98" s="174">
        <v>0.384199604743083</v>
      </c>
      <c r="E98" s="179">
        <v>0.0384199604743083</v>
      </c>
      <c r="F98" s="179">
        <v>0.0384199604743083</v>
      </c>
      <c r="G98" s="180">
        <v>0.0394545454545455</v>
      </c>
    </row>
    <row r="99" spans="1:7">
      <c r="A99" s="215" t="s">
        <v>198</v>
      </c>
      <c r="B99" s="216">
        <v>51.7</v>
      </c>
      <c r="C99" s="79">
        <f t="shared" si="1"/>
        <v>50.6</v>
      </c>
      <c r="D99" s="174">
        <v>0.397301740812379</v>
      </c>
      <c r="E99" s="179">
        <v>0.0397301740812379</v>
      </c>
      <c r="F99" s="179">
        <v>0.0397301740812379</v>
      </c>
      <c r="G99" s="180">
        <v>0.0444564796905224</v>
      </c>
    </row>
    <row r="100" spans="1:7">
      <c r="A100" s="215" t="s">
        <v>199</v>
      </c>
      <c r="B100" s="216">
        <v>52.6</v>
      </c>
      <c r="C100" s="79">
        <f t="shared" si="1"/>
        <v>51.7</v>
      </c>
      <c r="D100" s="174">
        <v>0.407614068441065</v>
      </c>
      <c r="E100" s="179">
        <v>0.0445684410646389</v>
      </c>
      <c r="F100" s="179">
        <v>0.0445684410646389</v>
      </c>
      <c r="G100" s="180">
        <v>0.0505399239543728</v>
      </c>
    </row>
    <row r="101" spans="1:7">
      <c r="A101" s="215" t="s">
        <v>200</v>
      </c>
      <c r="B101" s="216">
        <v>54.4</v>
      </c>
      <c r="C101" s="79">
        <f t="shared" si="1"/>
        <v>52.6</v>
      </c>
      <c r="D101" s="174">
        <v>0.427215073529412</v>
      </c>
      <c r="E101" s="179">
        <v>0.0563290441176472</v>
      </c>
      <c r="F101" s="179">
        <v>0.0563290441176472</v>
      </c>
      <c r="G101" s="180">
        <v>0.0621029411764707</v>
      </c>
    </row>
    <row r="102" spans="1:7">
      <c r="A102" s="215" t="s">
        <v>201</v>
      </c>
      <c r="B102" s="216">
        <v>56</v>
      </c>
      <c r="C102" s="79">
        <f t="shared" si="1"/>
        <v>54.4</v>
      </c>
      <c r="D102" s="174">
        <v>0.443580357142857</v>
      </c>
      <c r="E102" s="179">
        <v>0.0661482142857144</v>
      </c>
      <c r="F102" s="179">
        <v>0.0661482142857144</v>
      </c>
      <c r="G102" s="180">
        <v>0.071757142857143</v>
      </c>
    </row>
    <row r="103" spans="1:7">
      <c r="A103" s="215" t="s">
        <v>202</v>
      </c>
      <c r="B103" s="216">
        <v>57.7</v>
      </c>
      <c r="C103" s="79">
        <f t="shared" si="1"/>
        <v>56</v>
      </c>
      <c r="D103" s="174">
        <v>0.459974003466205</v>
      </c>
      <c r="E103" s="179">
        <v>0.0759844020797228</v>
      </c>
      <c r="F103" s="179">
        <v>0.0759844020797228</v>
      </c>
      <c r="G103" s="180">
        <v>0.0814280762564993</v>
      </c>
    </row>
    <row r="104" spans="1:7">
      <c r="A104" s="215" t="s">
        <v>203</v>
      </c>
      <c r="B104" s="216">
        <v>58.7</v>
      </c>
      <c r="C104" s="79">
        <f t="shared" si="1"/>
        <v>57.7</v>
      </c>
      <c r="D104" s="174">
        <v>0.469173764906303</v>
      </c>
      <c r="E104" s="179">
        <v>0.0815042589437821</v>
      </c>
      <c r="F104" s="179">
        <v>0.0815042589437821</v>
      </c>
      <c r="G104" s="180">
        <v>0.0868551959114141</v>
      </c>
    </row>
    <row r="105" spans="1:7">
      <c r="A105" s="215" t="s">
        <v>204</v>
      </c>
      <c r="B105" s="216">
        <v>59</v>
      </c>
      <c r="C105" s="79">
        <f t="shared" si="1"/>
        <v>58.7</v>
      </c>
      <c r="D105" s="174">
        <v>0.471872881355932</v>
      </c>
      <c r="E105" s="179">
        <v>0.0831237288135594</v>
      </c>
      <c r="F105" s="179">
        <v>0.0831237288135594</v>
      </c>
      <c r="G105" s="180">
        <v>0.0884474576271188</v>
      </c>
    </row>
    <row r="106" spans="1:7">
      <c r="A106" s="215" t="s">
        <v>205</v>
      </c>
      <c r="B106" s="216">
        <v>60.3</v>
      </c>
      <c r="C106" s="79">
        <f t="shared" si="1"/>
        <v>59</v>
      </c>
      <c r="D106" s="174">
        <v>0.483258706467662</v>
      </c>
      <c r="E106" s="179">
        <v>0.0899552238805971</v>
      </c>
      <c r="F106" s="179">
        <v>0.0899552238805971</v>
      </c>
      <c r="G106" s="180">
        <v>0.0951641791044777</v>
      </c>
    </row>
    <row r="107" spans="1:7">
      <c r="A107" s="215" t="s">
        <v>206</v>
      </c>
      <c r="B107" s="216">
        <v>61.5</v>
      </c>
      <c r="C107" s="79">
        <f t="shared" si="1"/>
        <v>60.3</v>
      </c>
      <c r="D107" s="174">
        <v>0.493341463414634</v>
      </c>
      <c r="E107" s="179">
        <v>0.0960048780487806</v>
      </c>
      <c r="F107" s="179">
        <v>0.0960048780487806</v>
      </c>
      <c r="G107" s="180">
        <v>0.101112195121951</v>
      </c>
    </row>
    <row r="108" spans="1:7">
      <c r="A108" s="215" t="s">
        <v>207</v>
      </c>
      <c r="B108" s="216">
        <v>63.1</v>
      </c>
      <c r="C108" s="79">
        <f t="shared" si="1"/>
        <v>61.5</v>
      </c>
      <c r="D108" s="174">
        <v>0.506188589540412</v>
      </c>
      <c r="E108" s="179">
        <v>0.103713153724247</v>
      </c>
      <c r="F108" s="179">
        <v>0.103713153724247</v>
      </c>
      <c r="G108" s="180">
        <v>0.108690966719493</v>
      </c>
    </row>
    <row r="109" spans="1:7">
      <c r="A109" s="215" t="s">
        <v>208</v>
      </c>
      <c r="B109" s="216">
        <v>65.2</v>
      </c>
      <c r="C109" s="79">
        <f t="shared" si="1"/>
        <v>63.1</v>
      </c>
      <c r="D109" s="174">
        <v>0.522093558282209</v>
      </c>
      <c r="E109" s="179">
        <v>0.113256134969325</v>
      </c>
      <c r="F109" s="179">
        <v>0.113256134969325</v>
      </c>
      <c r="G109" s="180">
        <v>0.118073619631902</v>
      </c>
    </row>
    <row r="110" spans="1:7">
      <c r="A110" s="215" t="s">
        <v>209</v>
      </c>
      <c r="B110" s="216">
        <v>66.8</v>
      </c>
      <c r="C110" s="79">
        <f t="shared" si="1"/>
        <v>65.2</v>
      </c>
      <c r="D110" s="174">
        <v>0.533540419161677</v>
      </c>
      <c r="E110" s="179">
        <v>0.120124251497006</v>
      </c>
      <c r="F110" s="179">
        <v>0.120124251497006</v>
      </c>
      <c r="G110" s="180">
        <v>0.124826347305389</v>
      </c>
    </row>
    <row r="111" spans="1:7">
      <c r="A111" s="215" t="s">
        <v>210</v>
      </c>
      <c r="B111" s="216">
        <v>67.6</v>
      </c>
      <c r="C111" s="79">
        <f t="shared" si="1"/>
        <v>66.8</v>
      </c>
      <c r="D111" s="174">
        <v>0.539060650887574</v>
      </c>
      <c r="E111" s="179">
        <v>0.123436390532544</v>
      </c>
      <c r="F111" s="179">
        <v>0.123436390532544</v>
      </c>
      <c r="G111" s="180">
        <v>0.128082840236686</v>
      </c>
    </row>
    <row r="112" spans="1:7">
      <c r="A112" s="215" t="s">
        <v>211</v>
      </c>
      <c r="B112" s="216">
        <v>69.6</v>
      </c>
      <c r="C112" s="79">
        <f t="shared" si="1"/>
        <v>67.6</v>
      </c>
      <c r="D112" s="174">
        <v>0.552306034482759</v>
      </c>
      <c r="E112" s="179">
        <v>0.131383620689655</v>
      </c>
      <c r="F112" s="179">
        <v>0.131383620689655</v>
      </c>
      <c r="G112" s="180">
        <v>0.135896551724138</v>
      </c>
    </row>
    <row r="113" spans="1:7">
      <c r="A113" s="215" t="s">
        <v>212</v>
      </c>
      <c r="B113" s="216">
        <v>71.3</v>
      </c>
      <c r="C113" s="79">
        <f t="shared" si="1"/>
        <v>69.6</v>
      </c>
      <c r="D113" s="174">
        <v>0.562980364656382</v>
      </c>
      <c r="E113" s="179">
        <v>0.137788218793829</v>
      </c>
      <c r="F113" s="179">
        <v>0.137788218793829</v>
      </c>
      <c r="G113" s="180">
        <v>0.142193548387097</v>
      </c>
    </row>
    <row r="114" spans="1:7">
      <c r="A114" s="215" t="s">
        <v>213</v>
      </c>
      <c r="B114" s="216">
        <v>72.3</v>
      </c>
      <c r="C114" s="79">
        <f t="shared" si="1"/>
        <v>71.3</v>
      </c>
      <c r="D114" s="174">
        <v>0.56902489626556</v>
      </c>
      <c r="E114" s="179">
        <v>0.141414937759336</v>
      </c>
      <c r="F114" s="179">
        <v>0.141414937759336</v>
      </c>
      <c r="G114" s="180">
        <v>0.145759336099585</v>
      </c>
    </row>
    <row r="115" spans="1:7">
      <c r="A115" s="215" t="s">
        <v>214</v>
      </c>
      <c r="B115" s="216">
        <v>73.2</v>
      </c>
      <c r="C115" s="79">
        <f t="shared" si="1"/>
        <v>72.3</v>
      </c>
      <c r="D115" s="174">
        <v>0.574323770491803</v>
      </c>
      <c r="E115" s="179">
        <v>0.144594262295082</v>
      </c>
      <c r="F115" s="179">
        <v>0.144594262295082</v>
      </c>
      <c r="G115" s="180">
        <v>0.148885245901639</v>
      </c>
    </row>
    <row r="116" spans="1:7">
      <c r="A116" s="215" t="s">
        <v>215</v>
      </c>
      <c r="B116" s="216">
        <v>76.3</v>
      </c>
      <c r="C116" s="79">
        <f t="shared" si="1"/>
        <v>73.2</v>
      </c>
      <c r="D116" s="174">
        <v>0.591618610747051</v>
      </c>
      <c r="E116" s="179">
        <v>0.154971166448231</v>
      </c>
      <c r="F116" s="179">
        <v>0.154971166448231</v>
      </c>
      <c r="G116" s="180">
        <v>0.159087811271298</v>
      </c>
    </row>
    <row r="117" spans="1:7">
      <c r="A117" s="215" t="s">
        <v>216</v>
      </c>
      <c r="B117" s="216">
        <v>83</v>
      </c>
      <c r="C117" s="79">
        <f t="shared" si="1"/>
        <v>76.3</v>
      </c>
      <c r="D117" s="174">
        <v>0.624584337349398</v>
      </c>
      <c r="E117" s="179">
        <v>0.174750602409639</v>
      </c>
      <c r="F117" s="179">
        <v>0.174750602409639</v>
      </c>
      <c r="G117" s="180">
        <v>0.178534939759036</v>
      </c>
    </row>
    <row r="118" spans="1:7">
      <c r="A118" s="215" t="s">
        <v>217</v>
      </c>
      <c r="B118" s="216">
        <v>85.8</v>
      </c>
      <c r="C118" s="79">
        <f t="shared" si="1"/>
        <v>83</v>
      </c>
      <c r="D118" s="174">
        <v>0.636835664335665</v>
      </c>
      <c r="E118" s="179">
        <v>0.182101398601399</v>
      </c>
      <c r="F118" s="179">
        <v>0.182101398601399</v>
      </c>
      <c r="G118" s="180">
        <v>0.185762237762238</v>
      </c>
    </row>
    <row r="119" spans="1:7">
      <c r="A119" s="215" t="s">
        <v>218</v>
      </c>
      <c r="B119" s="216">
        <v>89.2</v>
      </c>
      <c r="C119" s="79">
        <f t="shared" si="1"/>
        <v>85.8</v>
      </c>
      <c r="D119" s="174">
        <v>0.650678251121076</v>
      </c>
      <c r="E119" s="179">
        <v>0.190406950672646</v>
      </c>
      <c r="F119" s="179">
        <v>0.190406950672646</v>
      </c>
      <c r="G119" s="180">
        <v>0.193928251121076</v>
      </c>
    </row>
    <row r="120" spans="1:7">
      <c r="A120" s="215" t="s">
        <v>219</v>
      </c>
      <c r="B120" s="216">
        <v>93.5</v>
      </c>
      <c r="C120" s="79">
        <f t="shared" si="1"/>
        <v>89.2</v>
      </c>
      <c r="D120" s="174">
        <v>0.666743315508022</v>
      </c>
      <c r="E120" s="179">
        <v>0.200045989304813</v>
      </c>
      <c r="F120" s="179">
        <v>0.200045989304813</v>
      </c>
      <c r="G120" s="180">
        <v>0.203405347593583</v>
      </c>
    </row>
    <row r="121" spans="1:7">
      <c r="A121" s="215" t="s">
        <v>220</v>
      </c>
      <c r="B121" s="216">
        <v>95.6</v>
      </c>
      <c r="C121" s="79">
        <f t="shared" si="1"/>
        <v>93.5</v>
      </c>
      <c r="D121" s="174">
        <v>0.674063807531381</v>
      </c>
      <c r="E121" s="179">
        <v>0.204438284518829</v>
      </c>
      <c r="F121" s="179">
        <v>0.204438284518829</v>
      </c>
      <c r="G121" s="180">
        <v>0.207723849372385</v>
      </c>
    </row>
    <row r="122" spans="1:7">
      <c r="A122" s="215" t="s">
        <v>221</v>
      </c>
      <c r="B122" s="216">
        <v>110</v>
      </c>
      <c r="C122" s="79">
        <f t="shared" si="1"/>
        <v>95.6</v>
      </c>
      <c r="D122" s="174">
        <v>0.716731818181818</v>
      </c>
      <c r="E122" s="179">
        <v>0.230039090909091</v>
      </c>
      <c r="F122" s="179">
        <v>0.230039090909091</v>
      </c>
      <c r="G122" s="180">
        <v>0.232894545454546</v>
      </c>
    </row>
    <row r="123" ht="15.75" spans="1:7">
      <c r="A123" s="217" t="s">
        <v>221</v>
      </c>
      <c r="B123" s="218" t="s">
        <v>418</v>
      </c>
      <c r="C123" s="79">
        <f t="shared" si="1"/>
        <v>110</v>
      </c>
      <c r="D123" s="183"/>
      <c r="E123" s="184"/>
      <c r="F123" s="184"/>
      <c r="G123" s="185"/>
    </row>
    <row r="124" ht="15.75" spans="1:7">
      <c r="A124" s="186"/>
      <c r="B124" s="219"/>
      <c r="C124" s="78"/>
      <c r="D124" s="220"/>
      <c r="E124" s="221">
        <v>0.0690607608780447</v>
      </c>
      <c r="F124" s="221">
        <v>0.0690607608780447</v>
      </c>
      <c r="G124" s="222">
        <v>0.0718053188136863</v>
      </c>
    </row>
    <row r="125" ht="51" spans="1:7">
      <c r="A125" s="191" t="s">
        <v>233</v>
      </c>
      <c r="B125" s="223">
        <v>34.2</v>
      </c>
      <c r="C125" s="78"/>
      <c r="D125" s="193"/>
      <c r="E125" s="194">
        <v>51.9325</v>
      </c>
      <c r="F125" s="195">
        <v>51.9325</v>
      </c>
      <c r="G125" s="196">
        <v>51.06</v>
      </c>
    </row>
    <row r="126" ht="52.5" customHeight="1" spans="1:7">
      <c r="A126" s="197" t="s">
        <v>224</v>
      </c>
      <c r="B126" s="224">
        <v>53.5</v>
      </c>
      <c r="C126" s="78"/>
      <c r="D126" s="199"/>
      <c r="E126" s="200"/>
      <c r="F126" s="200"/>
      <c r="G126" s="201"/>
    </row>
    <row r="127" ht="78" customHeight="1" spans="1:7">
      <c r="A127" s="202" t="s">
        <v>225</v>
      </c>
      <c r="B127" s="225">
        <v>20.5</v>
      </c>
      <c r="C127" s="78"/>
      <c r="D127" s="184"/>
      <c r="E127" s="183">
        <v>31.1595</v>
      </c>
      <c r="F127" s="183">
        <v>31.1595</v>
      </c>
      <c r="G127" s="204">
        <v>30.636</v>
      </c>
    </row>
    <row r="128" ht="15.75"/>
    <row r="129" ht="51.75" spans="1:2">
      <c r="A129" s="205" t="s">
        <v>224</v>
      </c>
      <c r="B129" s="166">
        <f>B126</f>
        <v>53.5</v>
      </c>
    </row>
    <row r="130" spans="1:3">
      <c r="A130" s="542" t="s">
        <v>226</v>
      </c>
      <c r="B130" s="207">
        <f>AVERAGE(B78:B117)</f>
        <v>51.9325</v>
      </c>
      <c r="C130" s="95"/>
    </row>
    <row r="131" spans="1:3">
      <c r="A131" s="543" t="s">
        <v>227</v>
      </c>
      <c r="B131" s="209">
        <f>AVERAGE(B83:B112)</f>
        <v>51.06</v>
      </c>
      <c r="C131" s="96"/>
    </row>
    <row r="132" ht="15.75" spans="1:3">
      <c r="A132" s="544" t="s">
        <v>228</v>
      </c>
      <c r="B132" s="211">
        <f>AVERAGE(B89:B107)</f>
        <v>50.9210526315789</v>
      </c>
      <c r="C132" s="96"/>
    </row>
    <row r="133" ht="15.75"/>
    <row r="134" ht="15.75" spans="1:7">
      <c r="A134" s="155" t="s">
        <v>165</v>
      </c>
      <c r="B134" s="156" t="s">
        <v>347</v>
      </c>
      <c r="C134" s="157"/>
      <c r="D134" s="158"/>
      <c r="E134" s="159"/>
      <c r="F134" s="160"/>
      <c r="G134" s="161"/>
    </row>
    <row r="135" ht="77.25" spans="1:7">
      <c r="A135" s="162"/>
      <c r="B135" s="130" t="s">
        <v>167</v>
      </c>
      <c r="C135" s="107"/>
      <c r="D135" s="130" t="s">
        <v>168</v>
      </c>
      <c r="E135" s="130"/>
      <c r="F135" s="130"/>
      <c r="G135" s="130"/>
    </row>
    <row r="136" ht="26.25" spans="1:7">
      <c r="A136" s="163"/>
      <c r="B136" s="164" t="s">
        <v>235</v>
      </c>
      <c r="C136" s="107"/>
      <c r="D136" s="164" t="s">
        <v>171</v>
      </c>
      <c r="E136" s="165"/>
      <c r="F136" s="166"/>
      <c r="G136" s="166"/>
    </row>
    <row r="137" ht="15.75" spans="1:7">
      <c r="A137" s="167">
        <v>1</v>
      </c>
      <c r="B137" s="168">
        <v>2</v>
      </c>
      <c r="C137" s="76"/>
      <c r="D137" s="169">
        <v>3</v>
      </c>
      <c r="E137" s="170"/>
      <c r="F137" s="171"/>
      <c r="G137" s="170"/>
    </row>
    <row r="138" spans="1:7">
      <c r="A138" s="540" t="s">
        <v>172</v>
      </c>
      <c r="B138" s="226"/>
      <c r="C138" s="112">
        <v>0</v>
      </c>
      <c r="D138" s="174">
        <f>IF(B138=0,0,IF(B138&lt;=E$192,0,B138-E$192)/B138)</f>
        <v>0</v>
      </c>
      <c r="E138" s="175"/>
      <c r="F138" s="175"/>
      <c r="G138" s="176"/>
    </row>
    <row r="139" spans="1:7">
      <c r="A139" s="541" t="s">
        <v>173</v>
      </c>
      <c r="B139" s="227"/>
      <c r="C139" s="79">
        <f>B138</f>
        <v>0</v>
      </c>
      <c r="D139" s="174">
        <f t="shared" ref="D139:D187" si="2">IF(B139=0,0,IF(B139&lt;=E$192,0,B139-E$192)/B139)</f>
        <v>0</v>
      </c>
      <c r="E139" s="179"/>
      <c r="F139" s="179"/>
      <c r="G139" s="180"/>
    </row>
    <row r="140" spans="1:7">
      <c r="A140" s="541" t="s">
        <v>174</v>
      </c>
      <c r="B140" s="227"/>
      <c r="C140" s="79">
        <f t="shared" ref="C140:C188" si="3">B139</f>
        <v>0</v>
      </c>
      <c r="D140" s="174">
        <f t="shared" si="2"/>
        <v>0</v>
      </c>
      <c r="E140" s="179"/>
      <c r="F140" s="179"/>
      <c r="G140" s="180"/>
    </row>
    <row r="141" spans="1:7">
      <c r="A141" s="541" t="s">
        <v>175</v>
      </c>
      <c r="B141" s="227"/>
      <c r="C141" s="79">
        <f t="shared" si="3"/>
        <v>0</v>
      </c>
      <c r="D141" s="174">
        <f t="shared" si="2"/>
        <v>0</v>
      </c>
      <c r="E141" s="179"/>
      <c r="F141" s="179"/>
      <c r="G141" s="180"/>
    </row>
    <row r="142" spans="1:7">
      <c r="A142" s="541" t="s">
        <v>176</v>
      </c>
      <c r="B142" s="227"/>
      <c r="C142" s="79">
        <f t="shared" si="3"/>
        <v>0</v>
      </c>
      <c r="D142" s="174">
        <f t="shared" si="2"/>
        <v>0</v>
      </c>
      <c r="E142" s="179"/>
      <c r="F142" s="179"/>
      <c r="G142" s="180"/>
    </row>
    <row r="143" spans="1:7">
      <c r="A143" s="541" t="s">
        <v>177</v>
      </c>
      <c r="B143" s="227"/>
      <c r="C143" s="79">
        <f t="shared" si="3"/>
        <v>0</v>
      </c>
      <c r="D143" s="174">
        <f t="shared" si="2"/>
        <v>0</v>
      </c>
      <c r="E143" s="179"/>
      <c r="F143" s="179"/>
      <c r="G143" s="180"/>
    </row>
    <row r="144" spans="1:7">
      <c r="A144" s="541" t="s">
        <v>178</v>
      </c>
      <c r="B144" s="227"/>
      <c r="C144" s="79">
        <f t="shared" si="3"/>
        <v>0</v>
      </c>
      <c r="D144" s="174">
        <f t="shared" si="2"/>
        <v>0</v>
      </c>
      <c r="E144" s="179"/>
      <c r="F144" s="179"/>
      <c r="G144" s="180"/>
    </row>
    <row r="145" spans="1:7">
      <c r="A145" s="177" t="s">
        <v>179</v>
      </c>
      <c r="B145" s="227"/>
      <c r="C145" s="79">
        <f t="shared" si="3"/>
        <v>0</v>
      </c>
      <c r="D145" s="174">
        <f t="shared" si="2"/>
        <v>0</v>
      </c>
      <c r="E145" s="179"/>
      <c r="F145" s="179"/>
      <c r="G145" s="180"/>
    </row>
    <row r="146" spans="1:7">
      <c r="A146" s="177" t="s">
        <v>180</v>
      </c>
      <c r="B146" s="227"/>
      <c r="C146" s="79">
        <f t="shared" si="3"/>
        <v>0</v>
      </c>
      <c r="D146" s="174">
        <f t="shared" si="2"/>
        <v>0</v>
      </c>
      <c r="E146" s="179"/>
      <c r="F146" s="179"/>
      <c r="G146" s="180"/>
    </row>
    <row r="147" spans="1:7">
      <c r="A147" s="177" t="s">
        <v>181</v>
      </c>
      <c r="B147" s="227"/>
      <c r="C147" s="79">
        <f t="shared" si="3"/>
        <v>0</v>
      </c>
      <c r="D147" s="174">
        <f t="shared" si="2"/>
        <v>0</v>
      </c>
      <c r="E147" s="179"/>
      <c r="F147" s="179"/>
      <c r="G147" s="180"/>
    </row>
    <row r="148" spans="1:7">
      <c r="A148" s="177" t="s">
        <v>182</v>
      </c>
      <c r="B148" s="227"/>
      <c r="C148" s="79">
        <f t="shared" si="3"/>
        <v>0</v>
      </c>
      <c r="D148" s="174">
        <f t="shared" si="2"/>
        <v>0</v>
      </c>
      <c r="E148" s="179"/>
      <c r="F148" s="179"/>
      <c r="G148" s="180"/>
    </row>
    <row r="149" spans="1:7">
      <c r="A149" s="177" t="s">
        <v>183</v>
      </c>
      <c r="B149" s="227"/>
      <c r="C149" s="79">
        <f t="shared" si="3"/>
        <v>0</v>
      </c>
      <c r="D149" s="174">
        <f t="shared" si="2"/>
        <v>0</v>
      </c>
      <c r="E149" s="179"/>
      <c r="F149" s="179"/>
      <c r="G149" s="180"/>
    </row>
    <row r="150" spans="1:7">
      <c r="A150" s="177" t="s">
        <v>184</v>
      </c>
      <c r="B150" s="227"/>
      <c r="C150" s="79">
        <f t="shared" si="3"/>
        <v>0</v>
      </c>
      <c r="D150" s="174">
        <f t="shared" si="2"/>
        <v>0</v>
      </c>
      <c r="E150" s="179"/>
      <c r="F150" s="179"/>
      <c r="G150" s="180"/>
    </row>
    <row r="151" spans="1:7">
      <c r="A151" s="177" t="s">
        <v>185</v>
      </c>
      <c r="B151" s="227"/>
      <c r="C151" s="79">
        <f t="shared" si="3"/>
        <v>0</v>
      </c>
      <c r="D151" s="174">
        <f t="shared" si="2"/>
        <v>0</v>
      </c>
      <c r="E151" s="179"/>
      <c r="F151" s="179"/>
      <c r="G151" s="180"/>
    </row>
    <row r="152" spans="1:7">
      <c r="A152" s="177" t="s">
        <v>186</v>
      </c>
      <c r="B152" s="227"/>
      <c r="C152" s="79">
        <f t="shared" si="3"/>
        <v>0</v>
      </c>
      <c r="D152" s="174">
        <f t="shared" si="2"/>
        <v>0</v>
      </c>
      <c r="E152" s="179"/>
      <c r="F152" s="179"/>
      <c r="G152" s="180"/>
    </row>
    <row r="153" spans="1:7">
      <c r="A153" s="177" t="s">
        <v>187</v>
      </c>
      <c r="B153" s="227"/>
      <c r="C153" s="79">
        <f t="shared" si="3"/>
        <v>0</v>
      </c>
      <c r="D153" s="174">
        <f t="shared" si="2"/>
        <v>0</v>
      </c>
      <c r="E153" s="179"/>
      <c r="F153" s="179"/>
      <c r="G153" s="180"/>
    </row>
    <row r="154" spans="1:7">
      <c r="A154" s="177" t="s">
        <v>188</v>
      </c>
      <c r="B154" s="227"/>
      <c r="C154" s="79">
        <f t="shared" si="3"/>
        <v>0</v>
      </c>
      <c r="D154" s="174">
        <f t="shared" si="2"/>
        <v>0</v>
      </c>
      <c r="E154" s="179"/>
      <c r="F154" s="179"/>
      <c r="G154" s="180"/>
    </row>
    <row r="155" spans="1:7">
      <c r="A155" s="177" t="s">
        <v>189</v>
      </c>
      <c r="B155" s="227"/>
      <c r="C155" s="79">
        <f t="shared" si="3"/>
        <v>0</v>
      </c>
      <c r="D155" s="174">
        <f t="shared" si="2"/>
        <v>0</v>
      </c>
      <c r="E155" s="179"/>
      <c r="F155" s="179"/>
      <c r="G155" s="180"/>
    </row>
    <row r="156" spans="1:7">
      <c r="A156" s="177" t="s">
        <v>190</v>
      </c>
      <c r="B156" s="227"/>
      <c r="C156" s="79">
        <f t="shared" si="3"/>
        <v>0</v>
      </c>
      <c r="D156" s="174">
        <f t="shared" si="2"/>
        <v>0</v>
      </c>
      <c r="E156" s="179"/>
      <c r="F156" s="179"/>
      <c r="G156" s="180"/>
    </row>
    <row r="157" spans="1:7">
      <c r="A157" s="177" t="s">
        <v>191</v>
      </c>
      <c r="B157" s="227"/>
      <c r="C157" s="79">
        <f t="shared" si="3"/>
        <v>0</v>
      </c>
      <c r="D157" s="174">
        <f t="shared" si="2"/>
        <v>0</v>
      </c>
      <c r="E157" s="179"/>
      <c r="F157" s="179"/>
      <c r="G157" s="180"/>
    </row>
    <row r="158" spans="1:7">
      <c r="A158" s="177" t="s">
        <v>192</v>
      </c>
      <c r="B158" s="227"/>
      <c r="C158" s="79">
        <f t="shared" si="3"/>
        <v>0</v>
      </c>
      <c r="D158" s="174">
        <f t="shared" si="2"/>
        <v>0</v>
      </c>
      <c r="E158" s="179"/>
      <c r="F158" s="179"/>
      <c r="G158" s="180"/>
    </row>
    <row r="159" spans="1:7">
      <c r="A159" s="177" t="s">
        <v>193</v>
      </c>
      <c r="B159" s="227"/>
      <c r="C159" s="79">
        <f t="shared" si="3"/>
        <v>0</v>
      </c>
      <c r="D159" s="174">
        <f t="shared" si="2"/>
        <v>0</v>
      </c>
      <c r="E159" s="179"/>
      <c r="F159" s="179"/>
      <c r="G159" s="180"/>
    </row>
    <row r="160" spans="1:7">
      <c r="A160" s="177" t="s">
        <v>194</v>
      </c>
      <c r="B160" s="227"/>
      <c r="C160" s="79">
        <f t="shared" si="3"/>
        <v>0</v>
      </c>
      <c r="D160" s="174">
        <f t="shared" si="2"/>
        <v>0</v>
      </c>
      <c r="E160" s="179"/>
      <c r="F160" s="179"/>
      <c r="G160" s="180"/>
    </row>
    <row r="161" spans="1:7">
      <c r="A161" s="177" t="s">
        <v>195</v>
      </c>
      <c r="B161" s="227"/>
      <c r="C161" s="79">
        <f t="shared" si="3"/>
        <v>0</v>
      </c>
      <c r="D161" s="174">
        <f t="shared" si="2"/>
        <v>0</v>
      </c>
      <c r="E161" s="179"/>
      <c r="F161" s="179"/>
      <c r="G161" s="180"/>
    </row>
    <row r="162" spans="1:7">
      <c r="A162" s="177" t="s">
        <v>196</v>
      </c>
      <c r="B162" s="227"/>
      <c r="C162" s="79">
        <f t="shared" si="3"/>
        <v>0</v>
      </c>
      <c r="D162" s="174">
        <f t="shared" si="2"/>
        <v>0</v>
      </c>
      <c r="E162" s="179"/>
      <c r="F162" s="179"/>
      <c r="G162" s="180"/>
    </row>
    <row r="163" spans="1:7">
      <c r="A163" s="177" t="s">
        <v>197</v>
      </c>
      <c r="B163" s="227"/>
      <c r="C163" s="79">
        <f t="shared" si="3"/>
        <v>0</v>
      </c>
      <c r="D163" s="174">
        <f t="shared" si="2"/>
        <v>0</v>
      </c>
      <c r="E163" s="179"/>
      <c r="F163" s="179"/>
      <c r="G163" s="180"/>
    </row>
    <row r="164" spans="1:7">
      <c r="A164" s="177" t="s">
        <v>198</v>
      </c>
      <c r="B164" s="227"/>
      <c r="C164" s="79">
        <f t="shared" si="3"/>
        <v>0</v>
      </c>
      <c r="D164" s="174">
        <f t="shared" si="2"/>
        <v>0</v>
      </c>
      <c r="E164" s="179"/>
      <c r="F164" s="179"/>
      <c r="G164" s="180"/>
    </row>
    <row r="165" spans="1:7">
      <c r="A165" s="177" t="s">
        <v>199</v>
      </c>
      <c r="B165" s="227"/>
      <c r="C165" s="79">
        <f t="shared" si="3"/>
        <v>0</v>
      </c>
      <c r="D165" s="174">
        <f t="shared" si="2"/>
        <v>0</v>
      </c>
      <c r="E165" s="179"/>
      <c r="F165" s="179"/>
      <c r="G165" s="180"/>
    </row>
    <row r="166" spans="1:7">
      <c r="A166" s="177" t="s">
        <v>200</v>
      </c>
      <c r="B166" s="227"/>
      <c r="C166" s="79">
        <f t="shared" si="3"/>
        <v>0</v>
      </c>
      <c r="D166" s="174">
        <f t="shared" si="2"/>
        <v>0</v>
      </c>
      <c r="E166" s="179"/>
      <c r="F166" s="179"/>
      <c r="G166" s="180"/>
    </row>
    <row r="167" spans="1:7">
      <c r="A167" s="177" t="s">
        <v>201</v>
      </c>
      <c r="B167" s="227"/>
      <c r="C167" s="79">
        <f t="shared" si="3"/>
        <v>0</v>
      </c>
      <c r="D167" s="174">
        <f t="shared" si="2"/>
        <v>0</v>
      </c>
      <c r="E167" s="179"/>
      <c r="F167" s="179"/>
      <c r="G167" s="180"/>
    </row>
    <row r="168" spans="1:7">
      <c r="A168" s="177" t="s">
        <v>202</v>
      </c>
      <c r="B168" s="227"/>
      <c r="C168" s="79">
        <f t="shared" si="3"/>
        <v>0</v>
      </c>
      <c r="D168" s="174">
        <f t="shared" si="2"/>
        <v>0</v>
      </c>
      <c r="E168" s="179"/>
      <c r="F168" s="179"/>
      <c r="G168" s="180"/>
    </row>
    <row r="169" spans="1:7">
      <c r="A169" s="177" t="s">
        <v>203</v>
      </c>
      <c r="B169" s="227"/>
      <c r="C169" s="79">
        <f t="shared" si="3"/>
        <v>0</v>
      </c>
      <c r="D169" s="174">
        <f t="shared" si="2"/>
        <v>0</v>
      </c>
      <c r="E169" s="179"/>
      <c r="F169" s="179"/>
      <c r="G169" s="180"/>
    </row>
    <row r="170" spans="1:7">
      <c r="A170" s="177" t="s">
        <v>204</v>
      </c>
      <c r="B170" s="227"/>
      <c r="C170" s="79">
        <f t="shared" si="3"/>
        <v>0</v>
      </c>
      <c r="D170" s="174">
        <f t="shared" si="2"/>
        <v>0</v>
      </c>
      <c r="E170" s="179"/>
      <c r="F170" s="179"/>
      <c r="G170" s="180"/>
    </row>
    <row r="171" spans="1:7">
      <c r="A171" s="177" t="s">
        <v>205</v>
      </c>
      <c r="B171" s="227"/>
      <c r="C171" s="79">
        <f t="shared" si="3"/>
        <v>0</v>
      </c>
      <c r="D171" s="174">
        <f t="shared" si="2"/>
        <v>0</v>
      </c>
      <c r="E171" s="179"/>
      <c r="F171" s="179"/>
      <c r="G171" s="180"/>
    </row>
    <row r="172" spans="1:7">
      <c r="A172" s="177" t="s">
        <v>206</v>
      </c>
      <c r="B172" s="227"/>
      <c r="C172" s="79">
        <f t="shared" si="3"/>
        <v>0</v>
      </c>
      <c r="D172" s="174">
        <f t="shared" si="2"/>
        <v>0</v>
      </c>
      <c r="E172" s="179"/>
      <c r="F172" s="179"/>
      <c r="G172" s="180"/>
    </row>
    <row r="173" spans="1:7">
      <c r="A173" s="177" t="s">
        <v>207</v>
      </c>
      <c r="B173" s="227"/>
      <c r="C173" s="79">
        <f t="shared" si="3"/>
        <v>0</v>
      </c>
      <c r="D173" s="174">
        <f t="shared" si="2"/>
        <v>0</v>
      </c>
      <c r="E173" s="179"/>
      <c r="F173" s="179"/>
      <c r="G173" s="180"/>
    </row>
    <row r="174" spans="1:7">
      <c r="A174" s="177" t="s">
        <v>208</v>
      </c>
      <c r="B174" s="227"/>
      <c r="C174" s="79">
        <f t="shared" si="3"/>
        <v>0</v>
      </c>
      <c r="D174" s="174">
        <f t="shared" si="2"/>
        <v>0</v>
      </c>
      <c r="E174" s="179"/>
      <c r="F174" s="179"/>
      <c r="G174" s="180"/>
    </row>
    <row r="175" spans="1:7">
      <c r="A175" s="177" t="s">
        <v>209</v>
      </c>
      <c r="B175" s="227"/>
      <c r="C175" s="79">
        <f t="shared" si="3"/>
        <v>0</v>
      </c>
      <c r="D175" s="174">
        <f t="shared" si="2"/>
        <v>0</v>
      </c>
      <c r="E175" s="179"/>
      <c r="F175" s="179"/>
      <c r="G175" s="180"/>
    </row>
    <row r="176" spans="1:7">
      <c r="A176" s="177" t="s">
        <v>210</v>
      </c>
      <c r="B176" s="227"/>
      <c r="C176" s="79">
        <f t="shared" si="3"/>
        <v>0</v>
      </c>
      <c r="D176" s="174">
        <f t="shared" si="2"/>
        <v>0</v>
      </c>
      <c r="E176" s="179"/>
      <c r="F176" s="179"/>
      <c r="G176" s="180"/>
    </row>
    <row r="177" spans="1:7">
      <c r="A177" s="177" t="s">
        <v>211</v>
      </c>
      <c r="B177" s="227"/>
      <c r="C177" s="79">
        <f t="shared" si="3"/>
        <v>0</v>
      </c>
      <c r="D177" s="174">
        <f t="shared" si="2"/>
        <v>0</v>
      </c>
      <c r="E177" s="179"/>
      <c r="F177" s="179"/>
      <c r="G177" s="180"/>
    </row>
    <row r="178" spans="1:7">
      <c r="A178" s="177" t="s">
        <v>212</v>
      </c>
      <c r="B178" s="227"/>
      <c r="C178" s="79">
        <f t="shared" si="3"/>
        <v>0</v>
      </c>
      <c r="D178" s="174">
        <f t="shared" si="2"/>
        <v>0</v>
      </c>
      <c r="E178" s="179"/>
      <c r="F178" s="179"/>
      <c r="G178" s="180"/>
    </row>
    <row r="179" spans="1:7">
      <c r="A179" s="177" t="s">
        <v>213</v>
      </c>
      <c r="B179" s="227"/>
      <c r="C179" s="79">
        <f t="shared" si="3"/>
        <v>0</v>
      </c>
      <c r="D179" s="174">
        <f t="shared" si="2"/>
        <v>0</v>
      </c>
      <c r="E179" s="179"/>
      <c r="F179" s="179"/>
      <c r="G179" s="180"/>
    </row>
    <row r="180" spans="1:7">
      <c r="A180" s="177" t="s">
        <v>214</v>
      </c>
      <c r="B180" s="227"/>
      <c r="C180" s="79">
        <f t="shared" si="3"/>
        <v>0</v>
      </c>
      <c r="D180" s="174">
        <f t="shared" si="2"/>
        <v>0</v>
      </c>
      <c r="E180" s="179"/>
      <c r="F180" s="179"/>
      <c r="G180" s="180"/>
    </row>
    <row r="181" spans="1:7">
      <c r="A181" s="177" t="s">
        <v>215</v>
      </c>
      <c r="B181" s="227"/>
      <c r="C181" s="79">
        <f t="shared" si="3"/>
        <v>0</v>
      </c>
      <c r="D181" s="174">
        <f t="shared" si="2"/>
        <v>0</v>
      </c>
      <c r="E181" s="179"/>
      <c r="F181" s="179"/>
      <c r="G181" s="180"/>
    </row>
    <row r="182" spans="1:7">
      <c r="A182" s="177" t="s">
        <v>216</v>
      </c>
      <c r="B182" s="227"/>
      <c r="C182" s="79">
        <f t="shared" si="3"/>
        <v>0</v>
      </c>
      <c r="D182" s="174">
        <f t="shared" si="2"/>
        <v>0</v>
      </c>
      <c r="E182" s="179"/>
      <c r="F182" s="179"/>
      <c r="G182" s="180"/>
    </row>
    <row r="183" spans="1:7">
      <c r="A183" s="177" t="s">
        <v>217</v>
      </c>
      <c r="B183" s="227"/>
      <c r="C183" s="79">
        <f t="shared" si="3"/>
        <v>0</v>
      </c>
      <c r="D183" s="174">
        <f t="shared" si="2"/>
        <v>0</v>
      </c>
      <c r="E183" s="179"/>
      <c r="F183" s="179"/>
      <c r="G183" s="180"/>
    </row>
    <row r="184" spans="1:7">
      <c r="A184" s="177" t="s">
        <v>218</v>
      </c>
      <c r="B184" s="227"/>
      <c r="C184" s="79">
        <f t="shared" si="3"/>
        <v>0</v>
      </c>
      <c r="D184" s="174">
        <f t="shared" si="2"/>
        <v>0</v>
      </c>
      <c r="E184" s="179"/>
      <c r="F184" s="179"/>
      <c r="G184" s="180"/>
    </row>
    <row r="185" spans="1:7">
      <c r="A185" s="177" t="s">
        <v>219</v>
      </c>
      <c r="B185" s="227"/>
      <c r="C185" s="79">
        <f t="shared" si="3"/>
        <v>0</v>
      </c>
      <c r="D185" s="174">
        <f t="shared" si="2"/>
        <v>0</v>
      </c>
      <c r="E185" s="179"/>
      <c r="F185" s="179"/>
      <c r="G185" s="180"/>
    </row>
    <row r="186" spans="1:7">
      <c r="A186" s="177" t="s">
        <v>220</v>
      </c>
      <c r="B186" s="227"/>
      <c r="C186" s="79">
        <f t="shared" si="3"/>
        <v>0</v>
      </c>
      <c r="D186" s="174">
        <f t="shared" si="2"/>
        <v>0</v>
      </c>
      <c r="E186" s="179"/>
      <c r="F186" s="179"/>
      <c r="G186" s="180"/>
    </row>
    <row r="187" spans="1:7">
      <c r="A187" s="177" t="s">
        <v>221</v>
      </c>
      <c r="B187" s="227"/>
      <c r="C187" s="79">
        <f t="shared" si="3"/>
        <v>0</v>
      </c>
      <c r="D187" s="174">
        <f t="shared" si="2"/>
        <v>0</v>
      </c>
      <c r="E187" s="179"/>
      <c r="F187" s="179"/>
      <c r="G187" s="180"/>
    </row>
    <row r="188" ht="15.75" spans="1:7">
      <c r="A188" s="181" t="s">
        <v>221</v>
      </c>
      <c r="B188" s="228"/>
      <c r="C188" s="79">
        <f t="shared" si="3"/>
        <v>0</v>
      </c>
      <c r="D188" s="184"/>
      <c r="E188" s="184"/>
      <c r="F188" s="184"/>
      <c r="G188" s="185"/>
    </row>
    <row r="189" ht="15.75" spans="1:7">
      <c r="A189" s="186"/>
      <c r="B189" s="187"/>
      <c r="C189" s="116"/>
      <c r="D189" s="188"/>
      <c r="E189" s="189"/>
      <c r="F189" s="189"/>
      <c r="G189" s="190"/>
    </row>
    <row r="190" ht="51.75" spans="1:7">
      <c r="A190" s="191" t="s">
        <v>233</v>
      </c>
      <c r="B190" s="223"/>
      <c r="C190" s="116"/>
      <c r="D190" s="193"/>
      <c r="E190" s="229"/>
      <c r="F190" s="230"/>
      <c r="G190" s="231"/>
    </row>
    <row r="191" ht="51.75" spans="1:7">
      <c r="A191" s="197" t="s">
        <v>224</v>
      </c>
      <c r="B191" s="224"/>
      <c r="C191" s="116"/>
      <c r="D191" s="199"/>
      <c r="E191" s="232"/>
      <c r="F191" s="232"/>
      <c r="G191" s="233"/>
    </row>
    <row r="192" ht="77.25" spans="1:7">
      <c r="A192" s="202" t="s">
        <v>225</v>
      </c>
      <c r="B192" s="225"/>
      <c r="C192" s="116"/>
      <c r="D192" s="184"/>
      <c r="E192" s="234">
        <f>0.6*E190</f>
        <v>0</v>
      </c>
      <c r="F192" s="234">
        <f>0.6*F190</f>
        <v>0</v>
      </c>
      <c r="G192" s="235"/>
    </row>
    <row r="193" ht="15.75"/>
    <row r="194" ht="51.75" spans="1:2">
      <c r="A194" s="205" t="s">
        <v>224</v>
      </c>
      <c r="B194" s="166">
        <f>B191</f>
        <v>0</v>
      </c>
    </row>
    <row r="195" spans="1:3">
      <c r="A195" s="542" t="s">
        <v>226</v>
      </c>
      <c r="B195" s="236" t="e">
        <f>AVERAGE(B143:B182)</f>
        <v>#DIV/0!</v>
      </c>
      <c r="C195" s="95"/>
    </row>
    <row r="196" spans="1:3">
      <c r="A196" s="543" t="s">
        <v>227</v>
      </c>
      <c r="B196" s="237" t="e">
        <f>AVERAGE(B148:B177)</f>
        <v>#DIV/0!</v>
      </c>
      <c r="C196" s="96"/>
    </row>
    <row r="197" ht="15.75" spans="1:3">
      <c r="A197" s="544" t="s">
        <v>228</v>
      </c>
      <c r="B197" s="238" t="e">
        <f>AVERAGE(B154:B172)</f>
        <v>#DIV/0!</v>
      </c>
      <c r="C197" s="96"/>
    </row>
    <row r="199" ht="15.75"/>
    <row r="200" customHeight="1" spans="1:7">
      <c r="A200" s="155" t="s">
        <v>165</v>
      </c>
      <c r="B200" s="156" t="s">
        <v>234</v>
      </c>
      <c r="C200" s="157"/>
      <c r="D200" s="158"/>
      <c r="E200" s="159">
        <f>(1-E255)^(1/3)-1</f>
        <v>-0.0287274689941693</v>
      </c>
      <c r="F200" s="160">
        <f>(1-F255)^(1/3)-1</f>
        <v>-0.0287274689941693</v>
      </c>
      <c r="G200" s="161"/>
    </row>
    <row r="201" ht="77.25" spans="1:7">
      <c r="A201" s="162"/>
      <c r="B201" s="130" t="s">
        <v>167</v>
      </c>
      <c r="C201" s="83"/>
      <c r="D201" s="130" t="s">
        <v>168</v>
      </c>
      <c r="E201" s="130" t="s">
        <v>169</v>
      </c>
      <c r="F201" s="130" t="s">
        <v>169</v>
      </c>
      <c r="G201" s="130"/>
    </row>
    <row r="202" ht="26.25" spans="1:7">
      <c r="A202" s="163"/>
      <c r="B202" s="164" t="s">
        <v>235</v>
      </c>
      <c r="C202" s="83"/>
      <c r="D202" s="164" t="s">
        <v>171</v>
      </c>
      <c r="E202" s="538" t="s">
        <v>401</v>
      </c>
      <c r="F202" s="539" t="s">
        <v>402</v>
      </c>
      <c r="G202" s="166"/>
    </row>
    <row r="203" ht="15.75" spans="1:7">
      <c r="A203" s="167">
        <v>1</v>
      </c>
      <c r="B203" s="212">
        <v>2</v>
      </c>
      <c r="C203" s="76"/>
      <c r="D203" s="131">
        <v>3</v>
      </c>
      <c r="E203" s="169">
        <v>4</v>
      </c>
      <c r="F203" s="131">
        <v>5</v>
      </c>
      <c r="G203" s="169"/>
    </row>
    <row r="204" spans="1:7">
      <c r="A204" s="545" t="s">
        <v>172</v>
      </c>
      <c r="B204" s="214">
        <v>2.6</v>
      </c>
      <c r="C204" s="89">
        <v>0</v>
      </c>
      <c r="D204" s="174">
        <v>0</v>
      </c>
      <c r="E204" s="175">
        <v>0</v>
      </c>
      <c r="F204" s="175">
        <v>0</v>
      </c>
      <c r="G204" s="176">
        <v>0</v>
      </c>
    </row>
    <row r="205" spans="1:7">
      <c r="A205" s="546" t="s">
        <v>173</v>
      </c>
      <c r="B205" s="216">
        <v>2.8</v>
      </c>
      <c r="C205" s="79">
        <f>B204</f>
        <v>2.6</v>
      </c>
      <c r="D205" s="174">
        <v>0</v>
      </c>
      <c r="E205" s="179">
        <v>0</v>
      </c>
      <c r="F205" s="179">
        <v>0</v>
      </c>
      <c r="G205" s="180">
        <v>0</v>
      </c>
    </row>
    <row r="206" spans="1:7">
      <c r="A206" s="546" t="s">
        <v>174</v>
      </c>
      <c r="B206" s="216">
        <v>3</v>
      </c>
      <c r="C206" s="79">
        <f t="shared" ref="C206:C254" si="4">B205</f>
        <v>2.8</v>
      </c>
      <c r="D206" s="174">
        <v>0</v>
      </c>
      <c r="E206" s="179">
        <v>0</v>
      </c>
      <c r="F206" s="179">
        <v>0</v>
      </c>
      <c r="G206" s="180">
        <v>0</v>
      </c>
    </row>
    <row r="207" spans="1:7">
      <c r="A207" s="546" t="s">
        <v>175</v>
      </c>
      <c r="B207" s="216">
        <v>3.2</v>
      </c>
      <c r="C207" s="79">
        <f t="shared" si="4"/>
        <v>3</v>
      </c>
      <c r="D207" s="174">
        <v>0</v>
      </c>
      <c r="E207" s="179">
        <v>0</v>
      </c>
      <c r="F207" s="179">
        <v>0</v>
      </c>
      <c r="G207" s="180">
        <v>0</v>
      </c>
    </row>
    <row r="208" spans="1:7">
      <c r="A208" s="546" t="s">
        <v>176</v>
      </c>
      <c r="B208" s="216">
        <v>3.7</v>
      </c>
      <c r="C208" s="79">
        <f t="shared" si="4"/>
        <v>3.2</v>
      </c>
      <c r="D208" s="174">
        <v>0</v>
      </c>
      <c r="E208" s="179">
        <v>0</v>
      </c>
      <c r="F208" s="179">
        <v>0</v>
      </c>
      <c r="G208" s="180">
        <v>0</v>
      </c>
    </row>
    <row r="209" spans="1:7">
      <c r="A209" s="546" t="s">
        <v>177</v>
      </c>
      <c r="B209" s="216">
        <v>4.2</v>
      </c>
      <c r="C209" s="79">
        <f t="shared" si="4"/>
        <v>3.7</v>
      </c>
      <c r="D209" s="174">
        <v>0</v>
      </c>
      <c r="E209" s="179">
        <v>0</v>
      </c>
      <c r="F209" s="179">
        <v>0</v>
      </c>
      <c r="G209" s="180">
        <v>0</v>
      </c>
    </row>
    <row r="210" spans="1:7">
      <c r="A210" s="546" t="s">
        <v>178</v>
      </c>
      <c r="B210" s="216">
        <v>4.6</v>
      </c>
      <c r="C210" s="79">
        <f t="shared" si="4"/>
        <v>4.2</v>
      </c>
      <c r="D210" s="174">
        <v>0</v>
      </c>
      <c r="E210" s="179">
        <v>0</v>
      </c>
      <c r="F210" s="179">
        <v>0</v>
      </c>
      <c r="G210" s="180">
        <v>0</v>
      </c>
    </row>
    <row r="211" spans="1:7">
      <c r="A211" s="215" t="s">
        <v>179</v>
      </c>
      <c r="B211" s="216">
        <v>4.7</v>
      </c>
      <c r="C211" s="79">
        <f t="shared" si="4"/>
        <v>4.6</v>
      </c>
      <c r="D211" s="174">
        <v>0</v>
      </c>
      <c r="E211" s="179">
        <v>0</v>
      </c>
      <c r="F211" s="179">
        <v>0</v>
      </c>
      <c r="G211" s="180">
        <v>0</v>
      </c>
    </row>
    <row r="212" spans="1:7">
      <c r="A212" s="215" t="s">
        <v>180</v>
      </c>
      <c r="B212" s="216">
        <v>4.8</v>
      </c>
      <c r="C212" s="79">
        <f t="shared" si="4"/>
        <v>4.7</v>
      </c>
      <c r="D212" s="174">
        <v>0</v>
      </c>
      <c r="E212" s="179">
        <v>0</v>
      </c>
      <c r="F212" s="179">
        <v>0</v>
      </c>
      <c r="G212" s="180">
        <v>0</v>
      </c>
    </row>
    <row r="213" spans="1:7">
      <c r="A213" s="215" t="s">
        <v>181</v>
      </c>
      <c r="B213" s="216">
        <v>5.3</v>
      </c>
      <c r="C213" s="79">
        <f t="shared" si="4"/>
        <v>4.8</v>
      </c>
      <c r="D213" s="174">
        <v>0</v>
      </c>
      <c r="E213" s="179">
        <v>0</v>
      </c>
      <c r="F213" s="179">
        <v>0</v>
      </c>
      <c r="G213" s="180">
        <v>0</v>
      </c>
    </row>
    <row r="214" spans="1:7">
      <c r="A214" s="215" t="s">
        <v>182</v>
      </c>
      <c r="B214" s="216">
        <v>5.6</v>
      </c>
      <c r="C214" s="79">
        <f t="shared" si="4"/>
        <v>5.3</v>
      </c>
      <c r="D214" s="174">
        <v>0</v>
      </c>
      <c r="E214" s="179">
        <v>0</v>
      </c>
      <c r="F214" s="179">
        <v>0</v>
      </c>
      <c r="G214" s="180">
        <v>0</v>
      </c>
    </row>
    <row r="215" spans="1:7">
      <c r="A215" s="215" t="s">
        <v>183</v>
      </c>
      <c r="B215" s="216">
        <v>5.7</v>
      </c>
      <c r="C215" s="79">
        <f t="shared" si="4"/>
        <v>5.6</v>
      </c>
      <c r="D215" s="174">
        <v>0</v>
      </c>
      <c r="E215" s="179">
        <v>0</v>
      </c>
      <c r="F215" s="179">
        <v>0</v>
      </c>
      <c r="G215" s="180">
        <v>0</v>
      </c>
    </row>
    <row r="216" spans="1:7">
      <c r="A216" s="215" t="s">
        <v>184</v>
      </c>
      <c r="B216" s="216">
        <v>6</v>
      </c>
      <c r="C216" s="79">
        <f t="shared" si="4"/>
        <v>5.7</v>
      </c>
      <c r="D216" s="174">
        <v>0</v>
      </c>
      <c r="E216" s="179">
        <v>0</v>
      </c>
      <c r="F216" s="179">
        <v>0</v>
      </c>
      <c r="G216" s="180">
        <v>0</v>
      </c>
    </row>
    <row r="217" spans="1:7">
      <c r="A217" s="215" t="s">
        <v>185</v>
      </c>
      <c r="B217" s="216">
        <v>6.3</v>
      </c>
      <c r="C217" s="79">
        <f t="shared" si="4"/>
        <v>6</v>
      </c>
      <c r="D217" s="174">
        <v>0</v>
      </c>
      <c r="E217" s="179">
        <v>0</v>
      </c>
      <c r="F217" s="179">
        <v>0</v>
      </c>
      <c r="G217" s="180">
        <v>0</v>
      </c>
    </row>
    <row r="218" spans="1:7">
      <c r="A218" s="215" t="s">
        <v>186</v>
      </c>
      <c r="B218" s="216">
        <v>6.5</v>
      </c>
      <c r="C218" s="79">
        <f t="shared" si="4"/>
        <v>6.3</v>
      </c>
      <c r="D218" s="174">
        <v>0</v>
      </c>
      <c r="E218" s="179">
        <v>0</v>
      </c>
      <c r="F218" s="179">
        <v>0</v>
      </c>
      <c r="G218" s="180">
        <v>0</v>
      </c>
    </row>
    <row r="219" spans="1:7">
      <c r="A219" s="215" t="s">
        <v>187</v>
      </c>
      <c r="B219" s="216">
        <v>7.1</v>
      </c>
      <c r="C219" s="79">
        <f t="shared" si="4"/>
        <v>6.5</v>
      </c>
      <c r="D219" s="174">
        <v>0</v>
      </c>
      <c r="E219" s="179">
        <v>0</v>
      </c>
      <c r="F219" s="179">
        <v>0</v>
      </c>
      <c r="G219" s="180">
        <v>0</v>
      </c>
    </row>
    <row r="220" spans="1:7">
      <c r="A220" s="215" t="s">
        <v>188</v>
      </c>
      <c r="B220" s="216">
        <v>7.7</v>
      </c>
      <c r="C220" s="79">
        <f t="shared" si="4"/>
        <v>7.1</v>
      </c>
      <c r="D220" s="174">
        <v>0</v>
      </c>
      <c r="E220" s="179">
        <v>0</v>
      </c>
      <c r="F220" s="179">
        <v>0</v>
      </c>
      <c r="G220" s="180">
        <v>0</v>
      </c>
    </row>
    <row r="221" spans="1:7">
      <c r="A221" s="215" t="s">
        <v>189</v>
      </c>
      <c r="B221" s="216">
        <v>8.2</v>
      </c>
      <c r="C221" s="79">
        <f t="shared" si="4"/>
        <v>7.7</v>
      </c>
      <c r="D221" s="174">
        <v>0</v>
      </c>
      <c r="E221" s="179">
        <v>0</v>
      </c>
      <c r="F221" s="179">
        <v>0</v>
      </c>
      <c r="G221" s="180">
        <v>0</v>
      </c>
    </row>
    <row r="222" spans="1:7">
      <c r="A222" s="215" t="s">
        <v>190</v>
      </c>
      <c r="B222" s="216">
        <v>8.5</v>
      </c>
      <c r="C222" s="79">
        <f t="shared" si="4"/>
        <v>8.2</v>
      </c>
      <c r="D222" s="174">
        <v>0</v>
      </c>
      <c r="E222" s="179">
        <v>0</v>
      </c>
      <c r="F222" s="179">
        <v>0</v>
      </c>
      <c r="G222" s="180">
        <v>0.00235294117647058</v>
      </c>
    </row>
    <row r="223" spans="1:7">
      <c r="A223" s="215" t="s">
        <v>191</v>
      </c>
      <c r="B223" s="216">
        <v>8.9</v>
      </c>
      <c r="C223" s="79">
        <f t="shared" si="4"/>
        <v>8.5</v>
      </c>
      <c r="D223" s="174">
        <v>0</v>
      </c>
      <c r="E223" s="179">
        <v>0</v>
      </c>
      <c r="F223" s="179">
        <v>0</v>
      </c>
      <c r="G223" s="180">
        <v>0.00674157303370786</v>
      </c>
    </row>
    <row r="224" spans="1:7">
      <c r="A224" s="215" t="s">
        <v>192</v>
      </c>
      <c r="B224" s="216">
        <v>9.4</v>
      </c>
      <c r="C224" s="79">
        <f t="shared" si="4"/>
        <v>8.9</v>
      </c>
      <c r="D224" s="174">
        <v>0</v>
      </c>
      <c r="E224" s="179">
        <v>0</v>
      </c>
      <c r="F224" s="179">
        <v>0</v>
      </c>
      <c r="G224" s="180">
        <v>0.0117021276595745</v>
      </c>
    </row>
    <row r="225" spans="1:7">
      <c r="A225" s="215" t="s">
        <v>193</v>
      </c>
      <c r="B225" s="216">
        <v>10.2</v>
      </c>
      <c r="C225" s="79">
        <f t="shared" si="4"/>
        <v>9.4</v>
      </c>
      <c r="D225" s="174">
        <v>0.0130882352941178</v>
      </c>
      <c r="E225" s="179"/>
      <c r="F225" s="179">
        <v>0.00130882352941178</v>
      </c>
      <c r="G225" s="180">
        <v>0.0186274509803921</v>
      </c>
    </row>
    <row r="226" spans="1:7">
      <c r="A226" s="215" t="s">
        <v>194</v>
      </c>
      <c r="B226" s="216">
        <v>10.6</v>
      </c>
      <c r="C226" s="79">
        <f t="shared" si="4"/>
        <v>10.2</v>
      </c>
      <c r="D226" s="174">
        <v>0.0503301886792455</v>
      </c>
      <c r="E226" s="179"/>
      <c r="F226" s="179">
        <v>0.00503301886792455</v>
      </c>
      <c r="G226" s="180">
        <v>0.0216981132075472</v>
      </c>
    </row>
    <row r="227" spans="1:7">
      <c r="A227" s="215" t="s">
        <v>195</v>
      </c>
      <c r="B227" s="216">
        <v>11.6</v>
      </c>
      <c r="C227" s="79">
        <f t="shared" si="4"/>
        <v>10.6</v>
      </c>
      <c r="D227" s="174">
        <v>0.132198275862069</v>
      </c>
      <c r="E227" s="179">
        <v>0.0132198275862069</v>
      </c>
      <c r="F227" s="179">
        <v>0.0132198275862069</v>
      </c>
      <c r="G227" s="180">
        <v>0.028448275862069</v>
      </c>
    </row>
    <row r="228" spans="1:7">
      <c r="A228" s="215" t="s">
        <v>196</v>
      </c>
      <c r="B228" s="216">
        <v>12.1</v>
      </c>
      <c r="C228" s="79">
        <f t="shared" si="4"/>
        <v>11.6</v>
      </c>
      <c r="D228" s="174">
        <v>0.16805785123967</v>
      </c>
      <c r="E228" s="179">
        <v>0.016805785123967</v>
      </c>
      <c r="F228" s="179">
        <v>0.016805785123967</v>
      </c>
      <c r="G228" s="180">
        <v>0.0314049586776859</v>
      </c>
    </row>
    <row r="229" spans="1:7">
      <c r="A229" s="215" t="s">
        <v>197</v>
      </c>
      <c r="B229" s="216">
        <v>12.5</v>
      </c>
      <c r="C229" s="79">
        <f t="shared" si="4"/>
        <v>12.1</v>
      </c>
      <c r="D229" s="174">
        <v>0.19468</v>
      </c>
      <c r="E229" s="179">
        <v>0.019468</v>
      </c>
      <c r="F229" s="179">
        <v>0.019468</v>
      </c>
      <c r="G229" s="180">
        <v>0.0336</v>
      </c>
    </row>
    <row r="230" spans="1:7">
      <c r="A230" s="215" t="s">
        <v>198</v>
      </c>
      <c r="B230" s="216">
        <v>13</v>
      </c>
      <c r="C230" s="79">
        <f t="shared" si="4"/>
        <v>12.5</v>
      </c>
      <c r="D230" s="174">
        <v>0.225653846153846</v>
      </c>
      <c r="E230" s="179">
        <v>0.0225653846153846</v>
      </c>
      <c r="F230" s="179">
        <v>0.0225653846153846</v>
      </c>
      <c r="G230" s="180">
        <v>0.0361538461538462</v>
      </c>
    </row>
    <row r="231" spans="1:7">
      <c r="A231" s="215" t="s">
        <v>199</v>
      </c>
      <c r="B231" s="216">
        <v>13.7</v>
      </c>
      <c r="C231" s="79">
        <f t="shared" si="4"/>
        <v>13</v>
      </c>
      <c r="D231" s="174">
        <v>0.26521897810219</v>
      </c>
      <c r="E231" s="179">
        <v>0.026521897810219</v>
      </c>
      <c r="F231" s="179">
        <v>0.026521897810219</v>
      </c>
      <c r="G231" s="180">
        <v>0.0394160583941606</v>
      </c>
    </row>
    <row r="232" spans="1:7">
      <c r="A232" s="215" t="s">
        <v>200</v>
      </c>
      <c r="B232" s="216">
        <v>14.6</v>
      </c>
      <c r="C232" s="79">
        <f t="shared" si="4"/>
        <v>13.7</v>
      </c>
      <c r="D232" s="174">
        <v>0.310513698630137</v>
      </c>
      <c r="E232" s="179">
        <v>0.0310513698630137</v>
      </c>
      <c r="F232" s="179">
        <v>0.0310513698630137</v>
      </c>
      <c r="G232" s="180">
        <v>0.0589041095890411</v>
      </c>
    </row>
    <row r="233" spans="1:7">
      <c r="A233" s="215" t="s">
        <v>201</v>
      </c>
      <c r="B233" s="216">
        <v>15.1</v>
      </c>
      <c r="C233" s="79">
        <f t="shared" si="4"/>
        <v>14.6</v>
      </c>
      <c r="D233" s="174">
        <v>0.333344370860927</v>
      </c>
      <c r="E233" s="179">
        <v>0.0333344370860927</v>
      </c>
      <c r="F233" s="179">
        <v>0.0333344370860927</v>
      </c>
      <c r="G233" s="180">
        <v>0.0701986754966887</v>
      </c>
    </row>
    <row r="234" spans="1:7">
      <c r="A234" s="215" t="s">
        <v>202</v>
      </c>
      <c r="B234" s="216">
        <v>15.6</v>
      </c>
      <c r="C234" s="79">
        <f t="shared" si="4"/>
        <v>15.1</v>
      </c>
      <c r="D234" s="174">
        <v>0.354711538461539</v>
      </c>
      <c r="E234" s="179">
        <v>0.0354711538461539</v>
      </c>
      <c r="F234" s="179">
        <v>0.0354711538461539</v>
      </c>
      <c r="G234" s="180">
        <v>0.0807692307692308</v>
      </c>
    </row>
    <row r="235" spans="1:7">
      <c r="A235" s="215" t="s">
        <v>203</v>
      </c>
      <c r="B235" s="216">
        <v>15.7</v>
      </c>
      <c r="C235" s="79">
        <f t="shared" si="4"/>
        <v>15.6</v>
      </c>
      <c r="D235" s="174">
        <v>0.358821656050956</v>
      </c>
      <c r="E235" s="179">
        <v>0.0358821656050956</v>
      </c>
      <c r="F235" s="179">
        <v>0.0358821656050956</v>
      </c>
      <c r="G235" s="180">
        <v>0.0828025477707006</v>
      </c>
    </row>
    <row r="236" spans="1:7">
      <c r="A236" s="215" t="s">
        <v>204</v>
      </c>
      <c r="B236" s="216">
        <v>15.8</v>
      </c>
      <c r="C236" s="79">
        <f t="shared" si="4"/>
        <v>15.7</v>
      </c>
      <c r="D236" s="174">
        <v>0.362879746835443</v>
      </c>
      <c r="E236" s="179">
        <v>0.0362879746835443</v>
      </c>
      <c r="F236" s="179">
        <v>0.0362879746835443</v>
      </c>
      <c r="G236" s="180">
        <v>0.0848101265822785</v>
      </c>
    </row>
    <row r="237" spans="1:7">
      <c r="A237" s="215" t="s">
        <v>205</v>
      </c>
      <c r="B237" s="216">
        <v>16.8</v>
      </c>
      <c r="C237" s="79">
        <f t="shared" si="4"/>
        <v>15.8</v>
      </c>
      <c r="D237" s="174">
        <v>0.400803571428572</v>
      </c>
      <c r="E237" s="179">
        <v>0.040482142857143</v>
      </c>
      <c r="F237" s="179">
        <v>0.040482142857143</v>
      </c>
      <c r="G237" s="180">
        <v>0.103571428571429</v>
      </c>
    </row>
    <row r="238" spans="1:7">
      <c r="A238" s="215" t="s">
        <v>206</v>
      </c>
      <c r="B238" s="216">
        <v>17.6</v>
      </c>
      <c r="C238" s="79">
        <f t="shared" si="4"/>
        <v>16.8</v>
      </c>
      <c r="D238" s="174">
        <v>0.428039772727273</v>
      </c>
      <c r="E238" s="179">
        <v>0.0568238636363637</v>
      </c>
      <c r="F238" s="179">
        <v>0.0568238636363637</v>
      </c>
      <c r="G238" s="180">
        <v>0.117045454545455</v>
      </c>
    </row>
    <row r="239" spans="1:7">
      <c r="A239" s="215" t="s">
        <v>207</v>
      </c>
      <c r="B239" s="216">
        <v>18</v>
      </c>
      <c r="C239" s="79">
        <f t="shared" si="4"/>
        <v>17.6</v>
      </c>
      <c r="D239" s="174">
        <v>0.44075</v>
      </c>
      <c r="E239" s="179">
        <v>0.0644500000000001</v>
      </c>
      <c r="F239" s="179">
        <v>0.0644500000000001</v>
      </c>
      <c r="G239" s="180">
        <v>0.123333333333333</v>
      </c>
    </row>
    <row r="240" spans="1:7">
      <c r="A240" s="215" t="s">
        <v>208</v>
      </c>
      <c r="B240" s="216">
        <v>26.5</v>
      </c>
      <c r="C240" s="79">
        <f t="shared" si="4"/>
        <v>18</v>
      </c>
      <c r="D240" s="174">
        <v>0.620132075471698</v>
      </c>
      <c r="E240" s="179">
        <v>0.172079245283019</v>
      </c>
      <c r="F240" s="179">
        <v>0.172079245283019</v>
      </c>
      <c r="G240" s="180">
        <v>0.212075471698113</v>
      </c>
    </row>
    <row r="241" spans="1:7">
      <c r="A241" s="215" t="s">
        <v>209</v>
      </c>
      <c r="B241" s="216">
        <v>29.7</v>
      </c>
      <c r="C241" s="79">
        <f t="shared" si="4"/>
        <v>26.5</v>
      </c>
      <c r="D241" s="174">
        <v>0.661060606060606</v>
      </c>
      <c r="E241" s="179">
        <v>0.196636363636364</v>
      </c>
      <c r="F241" s="179">
        <v>0.196636363636364</v>
      </c>
      <c r="G241" s="180">
        <v>0.232323232323232</v>
      </c>
    </row>
    <row r="242" spans="1:7">
      <c r="A242" s="215" t="s">
        <v>210</v>
      </c>
      <c r="B242" s="216">
        <v>32.4</v>
      </c>
      <c r="C242" s="79">
        <f t="shared" si="4"/>
        <v>29.7</v>
      </c>
      <c r="D242" s="174">
        <v>0.689305555555556</v>
      </c>
      <c r="E242" s="179">
        <v>0.213583333333333</v>
      </c>
      <c r="F242" s="179">
        <v>0.213583333333333</v>
      </c>
      <c r="G242" s="180">
        <v>0.246296296296296</v>
      </c>
    </row>
    <row r="243" spans="1:7">
      <c r="A243" s="215" t="s">
        <v>211</v>
      </c>
      <c r="B243" s="216">
        <v>33.6</v>
      </c>
      <c r="C243" s="79">
        <f t="shared" si="4"/>
        <v>32.4</v>
      </c>
      <c r="D243" s="174">
        <v>0.700401785714286</v>
      </c>
      <c r="E243" s="179">
        <v>0.220241071428571</v>
      </c>
      <c r="F243" s="179">
        <v>0.220241071428571</v>
      </c>
      <c r="G243" s="180">
        <v>0.251785714285714</v>
      </c>
    </row>
    <row r="244" spans="1:7">
      <c r="A244" s="215" t="s">
        <v>212</v>
      </c>
      <c r="B244" s="216">
        <v>37.6</v>
      </c>
      <c r="C244" s="79">
        <f t="shared" si="4"/>
        <v>33.6</v>
      </c>
      <c r="D244" s="174">
        <v>0.732273936170213</v>
      </c>
      <c r="E244" s="179">
        <v>0.239364361702128</v>
      </c>
      <c r="F244" s="179">
        <v>0.239364361702128</v>
      </c>
      <c r="G244" s="180">
        <v>0.267553191489362</v>
      </c>
    </row>
    <row r="245" spans="1:7">
      <c r="A245" s="215" t="s">
        <v>213</v>
      </c>
      <c r="B245" s="216">
        <v>40.6</v>
      </c>
      <c r="C245" s="79">
        <f t="shared" si="4"/>
        <v>37.6</v>
      </c>
      <c r="D245" s="174">
        <v>0.752056650246306</v>
      </c>
      <c r="E245" s="179">
        <v>0.251233990147783</v>
      </c>
      <c r="F245" s="179">
        <v>0.251233990147783</v>
      </c>
      <c r="G245" s="180">
        <v>0.277339901477832</v>
      </c>
    </row>
    <row r="246" spans="1:7">
      <c r="A246" s="215" t="s">
        <v>214</v>
      </c>
      <c r="B246" s="216">
        <v>46.9</v>
      </c>
      <c r="C246" s="79">
        <f t="shared" si="4"/>
        <v>40.6</v>
      </c>
      <c r="D246" s="174">
        <v>0.785362473347548</v>
      </c>
      <c r="E246" s="179">
        <v>0.271217484008529</v>
      </c>
      <c r="F246" s="179">
        <v>0.271217484008529</v>
      </c>
      <c r="G246" s="180">
        <v>0.293816631130064</v>
      </c>
    </row>
    <row r="247" spans="1:7">
      <c r="A247" s="215" t="s">
        <v>215</v>
      </c>
      <c r="B247" s="216">
        <v>51.1</v>
      </c>
      <c r="C247" s="79">
        <f t="shared" si="4"/>
        <v>46.9</v>
      </c>
      <c r="D247" s="174">
        <v>0.803003913894325</v>
      </c>
      <c r="E247" s="179">
        <v>0.281802348336595</v>
      </c>
      <c r="F247" s="179">
        <v>0.281802348336595</v>
      </c>
      <c r="G247" s="180">
        <v>0.302544031311155</v>
      </c>
    </row>
    <row r="248" spans="1:7">
      <c r="A248" s="215" t="s">
        <v>216</v>
      </c>
      <c r="B248" s="216">
        <v>56.3</v>
      </c>
      <c r="C248" s="79">
        <f t="shared" si="4"/>
        <v>51.1</v>
      </c>
      <c r="D248" s="174">
        <v>0.82119893428064</v>
      </c>
      <c r="E248" s="179">
        <v>0.292719360568384</v>
      </c>
      <c r="F248" s="179">
        <v>0.292719360568384</v>
      </c>
      <c r="G248" s="180">
        <v>0.311545293072824</v>
      </c>
    </row>
    <row r="249" spans="1:7">
      <c r="A249" s="215" t="s">
        <v>217</v>
      </c>
      <c r="B249" s="216">
        <v>59.3</v>
      </c>
      <c r="C249" s="79">
        <f t="shared" si="4"/>
        <v>56.3</v>
      </c>
      <c r="D249" s="174">
        <v>0.830244519392917</v>
      </c>
      <c r="E249" s="179">
        <v>0.29814671163575</v>
      </c>
      <c r="F249" s="179">
        <v>0.29814671163575</v>
      </c>
      <c r="G249" s="180">
        <v>0.31602023608769</v>
      </c>
    </row>
    <row r="250" spans="1:7">
      <c r="A250" s="215" t="s">
        <v>218</v>
      </c>
      <c r="B250" s="216">
        <v>62.8</v>
      </c>
      <c r="C250" s="79">
        <f t="shared" si="4"/>
        <v>59.3</v>
      </c>
      <c r="D250" s="174">
        <v>0.839705414012739</v>
      </c>
      <c r="E250" s="179">
        <v>0.303823248407643</v>
      </c>
      <c r="F250" s="179">
        <v>0.303823248407643</v>
      </c>
      <c r="G250" s="180">
        <v>0.320700636942675</v>
      </c>
    </row>
    <row r="251" spans="1:7">
      <c r="A251" s="215" t="s">
        <v>219</v>
      </c>
      <c r="B251" s="216">
        <v>70.1</v>
      </c>
      <c r="C251" s="79">
        <f t="shared" si="4"/>
        <v>62.8</v>
      </c>
      <c r="D251" s="174">
        <v>0.856398002853067</v>
      </c>
      <c r="E251" s="179">
        <v>0.31383880171184</v>
      </c>
      <c r="F251" s="179">
        <v>0.31383880171184</v>
      </c>
      <c r="G251" s="180">
        <v>0.328958630527817</v>
      </c>
    </row>
    <row r="252" spans="1:7">
      <c r="A252" s="215" t="s">
        <v>220</v>
      </c>
      <c r="B252" s="216">
        <v>90.1</v>
      </c>
      <c r="C252" s="79">
        <f t="shared" si="4"/>
        <v>70.1</v>
      </c>
      <c r="D252" s="174">
        <v>0.888274139844617</v>
      </c>
      <c r="E252" s="179">
        <v>0.33296448390677</v>
      </c>
      <c r="F252" s="179">
        <v>0.33296448390677</v>
      </c>
      <c r="G252" s="180">
        <v>0.34472807991121</v>
      </c>
    </row>
    <row r="253" spans="1:7">
      <c r="A253" s="215" t="s">
        <v>221</v>
      </c>
      <c r="B253" s="216">
        <v>151.6</v>
      </c>
      <c r="C253" s="79">
        <f t="shared" si="4"/>
        <v>90.1</v>
      </c>
      <c r="D253" s="174">
        <v>0.933598284960422</v>
      </c>
      <c r="E253" s="179">
        <v>0.360158970976253</v>
      </c>
      <c r="F253" s="179">
        <v>0.360158970976253</v>
      </c>
      <c r="G253" s="180">
        <v>0.367150395778364</v>
      </c>
    </row>
    <row r="254" ht="15.75" spans="1:7">
      <c r="A254" s="217" t="s">
        <v>221</v>
      </c>
      <c r="B254" s="239" t="s">
        <v>419</v>
      </c>
      <c r="C254" s="79">
        <f t="shared" si="4"/>
        <v>151.6</v>
      </c>
      <c r="D254" s="184"/>
      <c r="E254" s="184"/>
      <c r="F254" s="184"/>
      <c r="G254" s="185"/>
    </row>
    <row r="255" ht="15.75" spans="1:7">
      <c r="A255" s="186"/>
      <c r="B255" s="219"/>
      <c r="C255" s="78"/>
      <c r="D255" s="220"/>
      <c r="E255" s="221">
        <v>0.0837303124038697</v>
      </c>
      <c r="F255" s="221">
        <v>0.0837303124038697</v>
      </c>
      <c r="G255" s="222">
        <v>0.100488359882719</v>
      </c>
    </row>
    <row r="256" ht="51" spans="1:7">
      <c r="A256" s="191" t="s">
        <v>233</v>
      </c>
      <c r="B256" s="223">
        <v>3.6</v>
      </c>
      <c r="C256" s="78"/>
      <c r="D256" s="193"/>
      <c r="E256" s="194">
        <v>16.7775</v>
      </c>
      <c r="F256" s="195">
        <v>16.7775</v>
      </c>
      <c r="G256" s="196">
        <v>13.8333333333333</v>
      </c>
    </row>
    <row r="257" ht="54" customHeight="1" spans="1:7">
      <c r="A257" s="197" t="s">
        <v>224</v>
      </c>
      <c r="B257" s="224">
        <v>22.2</v>
      </c>
      <c r="C257" s="78"/>
      <c r="D257" s="199"/>
      <c r="E257" s="200"/>
      <c r="F257" s="200"/>
      <c r="G257" s="201"/>
    </row>
    <row r="258" ht="77.25" customHeight="1" spans="1:7">
      <c r="A258" s="202" t="s">
        <v>225</v>
      </c>
      <c r="B258" s="225">
        <v>2.2</v>
      </c>
      <c r="C258" s="78"/>
      <c r="D258" s="184"/>
      <c r="E258" s="183">
        <v>10.0665</v>
      </c>
      <c r="F258" s="183">
        <v>10.0665</v>
      </c>
      <c r="G258" s="204">
        <v>8.3</v>
      </c>
    </row>
    <row r="259" ht="15.75"/>
    <row r="260" ht="51.75" spans="1:2">
      <c r="A260" s="205" t="s">
        <v>224</v>
      </c>
      <c r="B260" s="166">
        <f>B257</f>
        <v>22.2</v>
      </c>
    </row>
    <row r="261" spans="1:3">
      <c r="A261" s="542" t="s">
        <v>226</v>
      </c>
      <c r="B261" s="207">
        <f>AVERAGE(B209:B248)</f>
        <v>16.7775</v>
      </c>
      <c r="C261" s="95"/>
    </row>
    <row r="262" spans="1:3">
      <c r="A262" s="543" t="s">
        <v>227</v>
      </c>
      <c r="B262" s="209">
        <f>AVERAGE(B214:B243)</f>
        <v>13.8333333333333</v>
      </c>
      <c r="C262" s="96"/>
    </row>
    <row r="263" ht="15.75" spans="1:3">
      <c r="A263" s="544" t="s">
        <v>228</v>
      </c>
      <c r="B263" s="211">
        <f>AVERAGE(B220:B238)</f>
        <v>12.5052631578947</v>
      </c>
      <c r="C263" s="96"/>
    </row>
    <row r="264" spans="1:2">
      <c r="A264" s="240"/>
      <c r="B264" s="241"/>
    </row>
    <row r="265" ht="15.75"/>
    <row r="266" customHeight="1" spans="1:7">
      <c r="A266" s="155" t="s">
        <v>165</v>
      </c>
      <c r="B266" s="156" t="s">
        <v>363</v>
      </c>
      <c r="C266" s="157"/>
      <c r="D266" s="158"/>
      <c r="E266" s="159">
        <f>(1-E321)^(1/3)-1</f>
        <v>0</v>
      </c>
      <c r="F266" s="160">
        <f>(1-F321)^(1/3)-1</f>
        <v>0</v>
      </c>
      <c r="G266" s="161"/>
    </row>
    <row r="267" ht="77.25" spans="1:7">
      <c r="A267" s="162"/>
      <c r="B267" s="130" t="s">
        <v>167</v>
      </c>
      <c r="C267" s="130"/>
      <c r="D267" s="130" t="s">
        <v>168</v>
      </c>
      <c r="E267" s="130" t="s">
        <v>169</v>
      </c>
      <c r="F267" s="130" t="s">
        <v>169</v>
      </c>
      <c r="G267" s="130"/>
    </row>
    <row r="268" ht="26.25" spans="1:7">
      <c r="A268" s="163"/>
      <c r="B268" s="164" t="s">
        <v>364</v>
      </c>
      <c r="D268" s="164" t="s">
        <v>171</v>
      </c>
      <c r="E268" s="538" t="s">
        <v>401</v>
      </c>
      <c r="F268" s="539" t="s">
        <v>402</v>
      </c>
      <c r="G268" s="166"/>
    </row>
    <row r="269" ht="15.75" spans="1:7">
      <c r="A269" s="167">
        <v>1</v>
      </c>
      <c r="B269" s="212">
        <v>2</v>
      </c>
      <c r="D269" s="131">
        <v>3</v>
      </c>
      <c r="E269" s="169">
        <v>4</v>
      </c>
      <c r="F269" s="131">
        <v>5</v>
      </c>
      <c r="G269" s="169"/>
    </row>
    <row r="270" spans="1:7">
      <c r="A270" s="545" t="s">
        <v>172</v>
      </c>
      <c r="B270" s="214"/>
      <c r="C270">
        <v>0</v>
      </c>
      <c r="D270" s="174">
        <f>IF(B270=0,0,IF(B270&lt;=E$324,0,B270-E$324)/B270)</f>
        <v>0</v>
      </c>
      <c r="E270" s="175"/>
      <c r="F270" s="175"/>
      <c r="G270" s="176"/>
    </row>
    <row r="271" spans="1:7">
      <c r="A271" s="546" t="s">
        <v>173</v>
      </c>
      <c r="B271" s="216"/>
      <c r="C271" s="79">
        <f>B270</f>
        <v>0</v>
      </c>
      <c r="D271" s="174">
        <f t="shared" ref="D271:D319" si="5">IF(B271=0,0,IF(B271&lt;=E$324,0,B271-E$324)/B271)</f>
        <v>0</v>
      </c>
      <c r="E271" s="179"/>
      <c r="F271" s="179"/>
      <c r="G271" s="180"/>
    </row>
    <row r="272" spans="1:7">
      <c r="A272" s="546" t="s">
        <v>174</v>
      </c>
      <c r="B272" s="216"/>
      <c r="C272" s="79">
        <f t="shared" ref="C272:C320" si="6">B271</f>
        <v>0</v>
      </c>
      <c r="D272" s="174">
        <f t="shared" si="5"/>
        <v>0</v>
      </c>
      <c r="E272" s="179"/>
      <c r="F272" s="179"/>
      <c r="G272" s="180"/>
    </row>
    <row r="273" spans="1:7">
      <c r="A273" s="546" t="s">
        <v>175</v>
      </c>
      <c r="B273" s="216"/>
      <c r="C273" s="79">
        <f t="shared" si="6"/>
        <v>0</v>
      </c>
      <c r="D273" s="174">
        <f t="shared" si="5"/>
        <v>0</v>
      </c>
      <c r="E273" s="179"/>
      <c r="F273" s="179"/>
      <c r="G273" s="180"/>
    </row>
    <row r="274" spans="1:7">
      <c r="A274" s="546" t="s">
        <v>176</v>
      </c>
      <c r="B274" s="216"/>
      <c r="C274" s="79">
        <f t="shared" si="6"/>
        <v>0</v>
      </c>
      <c r="D274" s="174">
        <f t="shared" si="5"/>
        <v>0</v>
      </c>
      <c r="E274" s="179"/>
      <c r="F274" s="179"/>
      <c r="G274" s="180"/>
    </row>
    <row r="275" spans="1:7">
      <c r="A275" s="546" t="s">
        <v>177</v>
      </c>
      <c r="B275" s="216"/>
      <c r="C275" s="79">
        <f t="shared" si="6"/>
        <v>0</v>
      </c>
      <c r="D275" s="174">
        <f t="shared" si="5"/>
        <v>0</v>
      </c>
      <c r="E275" s="179"/>
      <c r="F275" s="179"/>
      <c r="G275" s="180"/>
    </row>
    <row r="276" spans="1:7">
      <c r="A276" s="546" t="s">
        <v>178</v>
      </c>
      <c r="B276" s="216"/>
      <c r="C276" s="79">
        <f t="shared" si="6"/>
        <v>0</v>
      </c>
      <c r="D276" s="174">
        <f t="shared" si="5"/>
        <v>0</v>
      </c>
      <c r="E276" s="179"/>
      <c r="F276" s="179"/>
      <c r="G276" s="180"/>
    </row>
    <row r="277" spans="1:7">
      <c r="A277" s="215" t="s">
        <v>179</v>
      </c>
      <c r="B277" s="216"/>
      <c r="C277" s="79">
        <f t="shared" si="6"/>
        <v>0</v>
      </c>
      <c r="D277" s="174">
        <f t="shared" si="5"/>
        <v>0</v>
      </c>
      <c r="E277" s="179"/>
      <c r="F277" s="179"/>
      <c r="G277" s="180"/>
    </row>
    <row r="278" spans="1:7">
      <c r="A278" s="215" t="s">
        <v>180</v>
      </c>
      <c r="B278" s="216"/>
      <c r="C278" s="79">
        <f t="shared" si="6"/>
        <v>0</v>
      </c>
      <c r="D278" s="174">
        <f t="shared" si="5"/>
        <v>0</v>
      </c>
      <c r="E278" s="179"/>
      <c r="F278" s="179"/>
      <c r="G278" s="180"/>
    </row>
    <row r="279" spans="1:7">
      <c r="A279" s="215" t="s">
        <v>181</v>
      </c>
      <c r="B279" s="216"/>
      <c r="C279" s="79">
        <f t="shared" si="6"/>
        <v>0</v>
      </c>
      <c r="D279" s="174">
        <f t="shared" si="5"/>
        <v>0</v>
      </c>
      <c r="E279" s="179"/>
      <c r="F279" s="179"/>
      <c r="G279" s="180"/>
    </row>
    <row r="280" spans="1:7">
      <c r="A280" s="215" t="s">
        <v>182</v>
      </c>
      <c r="B280" s="216"/>
      <c r="C280" s="79">
        <f t="shared" si="6"/>
        <v>0</v>
      </c>
      <c r="D280" s="174">
        <f t="shared" si="5"/>
        <v>0</v>
      </c>
      <c r="E280" s="179"/>
      <c r="F280" s="179"/>
      <c r="G280" s="180"/>
    </row>
    <row r="281" spans="1:7">
      <c r="A281" s="215" t="s">
        <v>183</v>
      </c>
      <c r="B281" s="216"/>
      <c r="C281" s="79">
        <f t="shared" si="6"/>
        <v>0</v>
      </c>
      <c r="D281" s="174">
        <f t="shared" si="5"/>
        <v>0</v>
      </c>
      <c r="E281" s="179"/>
      <c r="F281" s="179"/>
      <c r="G281" s="180"/>
    </row>
    <row r="282" spans="1:7">
      <c r="A282" s="215" t="s">
        <v>184</v>
      </c>
      <c r="B282" s="216"/>
      <c r="C282" s="79">
        <f t="shared" si="6"/>
        <v>0</v>
      </c>
      <c r="D282" s="174">
        <f t="shared" si="5"/>
        <v>0</v>
      </c>
      <c r="E282" s="179"/>
      <c r="F282" s="179"/>
      <c r="G282" s="180"/>
    </row>
    <row r="283" spans="1:7">
      <c r="A283" s="215" t="s">
        <v>185</v>
      </c>
      <c r="B283" s="216"/>
      <c r="C283" s="79">
        <f t="shared" si="6"/>
        <v>0</v>
      </c>
      <c r="D283" s="174">
        <f t="shared" si="5"/>
        <v>0</v>
      </c>
      <c r="E283" s="179"/>
      <c r="F283" s="179"/>
      <c r="G283" s="180"/>
    </row>
    <row r="284" spans="1:7">
      <c r="A284" s="215" t="s">
        <v>186</v>
      </c>
      <c r="B284" s="216"/>
      <c r="C284" s="79">
        <f t="shared" si="6"/>
        <v>0</v>
      </c>
      <c r="D284" s="174">
        <f t="shared" si="5"/>
        <v>0</v>
      </c>
      <c r="E284" s="179"/>
      <c r="F284" s="179"/>
      <c r="G284" s="180"/>
    </row>
    <row r="285" spans="1:7">
      <c r="A285" s="215" t="s">
        <v>187</v>
      </c>
      <c r="B285" s="216"/>
      <c r="C285" s="79">
        <f t="shared" si="6"/>
        <v>0</v>
      </c>
      <c r="D285" s="174">
        <f t="shared" si="5"/>
        <v>0</v>
      </c>
      <c r="E285" s="179"/>
      <c r="F285" s="179"/>
      <c r="G285" s="180"/>
    </row>
    <row r="286" spans="1:7">
      <c r="A286" s="215" t="s">
        <v>188</v>
      </c>
      <c r="B286" s="216"/>
      <c r="C286" s="79">
        <f t="shared" si="6"/>
        <v>0</v>
      </c>
      <c r="D286" s="174">
        <f t="shared" si="5"/>
        <v>0</v>
      </c>
      <c r="E286" s="179"/>
      <c r="F286" s="179"/>
      <c r="G286" s="180"/>
    </row>
    <row r="287" spans="1:7">
      <c r="A287" s="215" t="s">
        <v>189</v>
      </c>
      <c r="B287" s="216"/>
      <c r="C287" s="79">
        <f t="shared" si="6"/>
        <v>0</v>
      </c>
      <c r="D287" s="174">
        <f t="shared" si="5"/>
        <v>0</v>
      </c>
      <c r="E287" s="179"/>
      <c r="F287" s="179"/>
      <c r="G287" s="180"/>
    </row>
    <row r="288" spans="1:7">
      <c r="A288" s="215" t="s">
        <v>190</v>
      </c>
      <c r="B288" s="216"/>
      <c r="C288" s="79">
        <f t="shared" si="6"/>
        <v>0</v>
      </c>
      <c r="D288" s="174">
        <f t="shared" si="5"/>
        <v>0</v>
      </c>
      <c r="E288" s="179"/>
      <c r="F288" s="179"/>
      <c r="G288" s="180"/>
    </row>
    <row r="289" spans="1:7">
      <c r="A289" s="215" t="s">
        <v>191</v>
      </c>
      <c r="B289" s="216"/>
      <c r="C289" s="79">
        <f t="shared" si="6"/>
        <v>0</v>
      </c>
      <c r="D289" s="174">
        <f t="shared" si="5"/>
        <v>0</v>
      </c>
      <c r="E289" s="179"/>
      <c r="F289" s="179"/>
      <c r="G289" s="180"/>
    </row>
    <row r="290" spans="1:7">
      <c r="A290" s="215" t="s">
        <v>192</v>
      </c>
      <c r="B290" s="216"/>
      <c r="C290" s="79">
        <f t="shared" si="6"/>
        <v>0</v>
      </c>
      <c r="D290" s="174">
        <f t="shared" si="5"/>
        <v>0</v>
      </c>
      <c r="E290" s="179"/>
      <c r="F290" s="179"/>
      <c r="G290" s="180"/>
    </row>
    <row r="291" spans="1:7">
      <c r="A291" s="215" t="s">
        <v>193</v>
      </c>
      <c r="B291" s="216"/>
      <c r="C291" s="79">
        <f t="shared" si="6"/>
        <v>0</v>
      </c>
      <c r="D291" s="174">
        <f t="shared" si="5"/>
        <v>0</v>
      </c>
      <c r="E291" s="179"/>
      <c r="F291" s="179"/>
      <c r="G291" s="180"/>
    </row>
    <row r="292" spans="1:7">
      <c r="A292" s="215" t="s">
        <v>194</v>
      </c>
      <c r="B292" s="216"/>
      <c r="C292" s="79">
        <f t="shared" si="6"/>
        <v>0</v>
      </c>
      <c r="D292" s="174">
        <f t="shared" si="5"/>
        <v>0</v>
      </c>
      <c r="E292" s="179"/>
      <c r="F292" s="179"/>
      <c r="G292" s="180"/>
    </row>
    <row r="293" spans="1:7">
      <c r="A293" s="215" t="s">
        <v>195</v>
      </c>
      <c r="B293" s="216"/>
      <c r="C293" s="79">
        <f t="shared" si="6"/>
        <v>0</v>
      </c>
      <c r="D293" s="174">
        <f t="shared" si="5"/>
        <v>0</v>
      </c>
      <c r="E293" s="179"/>
      <c r="F293" s="179"/>
      <c r="G293" s="180"/>
    </row>
    <row r="294" spans="1:7">
      <c r="A294" s="215" t="s">
        <v>196</v>
      </c>
      <c r="B294" s="216"/>
      <c r="C294" s="79">
        <f t="shared" si="6"/>
        <v>0</v>
      </c>
      <c r="D294" s="174">
        <f t="shared" si="5"/>
        <v>0</v>
      </c>
      <c r="E294" s="179"/>
      <c r="F294" s="179"/>
      <c r="G294" s="180"/>
    </row>
    <row r="295" spans="1:7">
      <c r="A295" s="215" t="s">
        <v>197</v>
      </c>
      <c r="B295" s="216"/>
      <c r="C295" s="79">
        <f t="shared" si="6"/>
        <v>0</v>
      </c>
      <c r="D295" s="174">
        <f t="shared" si="5"/>
        <v>0</v>
      </c>
      <c r="E295" s="179"/>
      <c r="F295" s="179"/>
      <c r="G295" s="180"/>
    </row>
    <row r="296" spans="1:7">
      <c r="A296" s="215" t="s">
        <v>198</v>
      </c>
      <c r="B296" s="216"/>
      <c r="C296" s="79">
        <f t="shared" si="6"/>
        <v>0</v>
      </c>
      <c r="D296" s="174">
        <f t="shared" si="5"/>
        <v>0</v>
      </c>
      <c r="E296" s="179"/>
      <c r="F296" s="179"/>
      <c r="G296" s="180"/>
    </row>
    <row r="297" spans="1:7">
      <c r="A297" s="215" t="s">
        <v>199</v>
      </c>
      <c r="B297" s="216"/>
      <c r="C297" s="79">
        <f t="shared" si="6"/>
        <v>0</v>
      </c>
      <c r="D297" s="174">
        <f t="shared" si="5"/>
        <v>0</v>
      </c>
      <c r="E297" s="179"/>
      <c r="F297" s="179"/>
      <c r="G297" s="180"/>
    </row>
    <row r="298" spans="1:7">
      <c r="A298" s="215" t="s">
        <v>200</v>
      </c>
      <c r="B298" s="216"/>
      <c r="C298" s="79">
        <f t="shared" si="6"/>
        <v>0</v>
      </c>
      <c r="D298" s="174">
        <f t="shared" si="5"/>
        <v>0</v>
      </c>
      <c r="E298" s="179"/>
      <c r="F298" s="179"/>
      <c r="G298" s="180"/>
    </row>
    <row r="299" spans="1:7">
      <c r="A299" s="215" t="s">
        <v>201</v>
      </c>
      <c r="B299" s="216"/>
      <c r="C299" s="79">
        <f t="shared" si="6"/>
        <v>0</v>
      </c>
      <c r="D299" s="174">
        <f t="shared" si="5"/>
        <v>0</v>
      </c>
      <c r="E299" s="179"/>
      <c r="F299" s="179"/>
      <c r="G299" s="180"/>
    </row>
    <row r="300" spans="1:7">
      <c r="A300" s="215" t="s">
        <v>202</v>
      </c>
      <c r="B300" s="216"/>
      <c r="C300" s="79">
        <f t="shared" si="6"/>
        <v>0</v>
      </c>
      <c r="D300" s="174">
        <f t="shared" si="5"/>
        <v>0</v>
      </c>
      <c r="E300" s="179"/>
      <c r="F300" s="179"/>
      <c r="G300" s="180"/>
    </row>
    <row r="301" spans="1:7">
      <c r="A301" s="215" t="s">
        <v>203</v>
      </c>
      <c r="B301" s="216"/>
      <c r="C301" s="79">
        <f t="shared" si="6"/>
        <v>0</v>
      </c>
      <c r="D301" s="174">
        <f t="shared" si="5"/>
        <v>0</v>
      </c>
      <c r="E301" s="179"/>
      <c r="F301" s="179"/>
      <c r="G301" s="180"/>
    </row>
    <row r="302" spans="1:7">
      <c r="A302" s="215" t="s">
        <v>204</v>
      </c>
      <c r="B302" s="216"/>
      <c r="C302" s="79">
        <f t="shared" si="6"/>
        <v>0</v>
      </c>
      <c r="D302" s="174">
        <f t="shared" si="5"/>
        <v>0</v>
      </c>
      <c r="E302" s="179"/>
      <c r="F302" s="179"/>
      <c r="G302" s="180"/>
    </row>
    <row r="303" spans="1:7">
      <c r="A303" s="215" t="s">
        <v>205</v>
      </c>
      <c r="B303" s="216"/>
      <c r="C303" s="79">
        <f t="shared" si="6"/>
        <v>0</v>
      </c>
      <c r="D303" s="174">
        <f t="shared" si="5"/>
        <v>0</v>
      </c>
      <c r="E303" s="179"/>
      <c r="F303" s="179"/>
      <c r="G303" s="180"/>
    </row>
    <row r="304" spans="1:7">
      <c r="A304" s="215" t="s">
        <v>206</v>
      </c>
      <c r="B304" s="216"/>
      <c r="C304" s="79">
        <f t="shared" si="6"/>
        <v>0</v>
      </c>
      <c r="D304" s="174">
        <f t="shared" si="5"/>
        <v>0</v>
      </c>
      <c r="E304" s="179"/>
      <c r="F304" s="179"/>
      <c r="G304" s="180"/>
    </row>
    <row r="305" spans="1:7">
      <c r="A305" s="215" t="s">
        <v>207</v>
      </c>
      <c r="B305" s="216"/>
      <c r="C305" s="79">
        <f t="shared" si="6"/>
        <v>0</v>
      </c>
      <c r="D305" s="174">
        <f t="shared" si="5"/>
        <v>0</v>
      </c>
      <c r="E305" s="179"/>
      <c r="F305" s="179"/>
      <c r="G305" s="180"/>
    </row>
    <row r="306" spans="1:7">
      <c r="A306" s="215" t="s">
        <v>208</v>
      </c>
      <c r="B306" s="216"/>
      <c r="C306" s="79">
        <f t="shared" si="6"/>
        <v>0</v>
      </c>
      <c r="D306" s="174">
        <f t="shared" si="5"/>
        <v>0</v>
      </c>
      <c r="E306" s="179"/>
      <c r="F306" s="179"/>
      <c r="G306" s="180"/>
    </row>
    <row r="307" spans="1:7">
      <c r="A307" s="215" t="s">
        <v>209</v>
      </c>
      <c r="B307" s="216"/>
      <c r="C307" s="79">
        <f t="shared" si="6"/>
        <v>0</v>
      </c>
      <c r="D307" s="174">
        <f t="shared" si="5"/>
        <v>0</v>
      </c>
      <c r="E307" s="179"/>
      <c r="F307" s="179"/>
      <c r="G307" s="180"/>
    </row>
    <row r="308" spans="1:7">
      <c r="A308" s="215" t="s">
        <v>210</v>
      </c>
      <c r="B308" s="216"/>
      <c r="C308" s="79">
        <f t="shared" si="6"/>
        <v>0</v>
      </c>
      <c r="D308" s="174">
        <f t="shared" si="5"/>
        <v>0</v>
      </c>
      <c r="E308" s="179"/>
      <c r="F308" s="179"/>
      <c r="G308" s="180"/>
    </row>
    <row r="309" spans="1:7">
      <c r="A309" s="215" t="s">
        <v>211</v>
      </c>
      <c r="B309" s="216"/>
      <c r="C309" s="79">
        <f t="shared" si="6"/>
        <v>0</v>
      </c>
      <c r="D309" s="174">
        <f t="shared" si="5"/>
        <v>0</v>
      </c>
      <c r="E309" s="179"/>
      <c r="F309" s="179"/>
      <c r="G309" s="180"/>
    </row>
    <row r="310" spans="1:7">
      <c r="A310" s="215" t="s">
        <v>212</v>
      </c>
      <c r="B310" s="216"/>
      <c r="C310" s="79">
        <f t="shared" si="6"/>
        <v>0</v>
      </c>
      <c r="D310" s="174">
        <f t="shared" si="5"/>
        <v>0</v>
      </c>
      <c r="E310" s="179"/>
      <c r="F310" s="179"/>
      <c r="G310" s="180"/>
    </row>
    <row r="311" spans="1:7">
      <c r="A311" s="215" t="s">
        <v>213</v>
      </c>
      <c r="B311" s="216"/>
      <c r="C311" s="79">
        <f t="shared" si="6"/>
        <v>0</v>
      </c>
      <c r="D311" s="174">
        <f t="shared" si="5"/>
        <v>0</v>
      </c>
      <c r="E311" s="179"/>
      <c r="F311" s="179"/>
      <c r="G311" s="180"/>
    </row>
    <row r="312" spans="1:7">
      <c r="A312" s="215" t="s">
        <v>214</v>
      </c>
      <c r="B312" s="216"/>
      <c r="C312" s="79">
        <f t="shared" si="6"/>
        <v>0</v>
      </c>
      <c r="D312" s="174">
        <f t="shared" si="5"/>
        <v>0</v>
      </c>
      <c r="E312" s="179"/>
      <c r="F312" s="179"/>
      <c r="G312" s="180"/>
    </row>
    <row r="313" spans="1:7">
      <c r="A313" s="215" t="s">
        <v>215</v>
      </c>
      <c r="B313" s="216"/>
      <c r="C313" s="79">
        <f t="shared" si="6"/>
        <v>0</v>
      </c>
      <c r="D313" s="174">
        <f t="shared" si="5"/>
        <v>0</v>
      </c>
      <c r="E313" s="179"/>
      <c r="F313" s="179"/>
      <c r="G313" s="180"/>
    </row>
    <row r="314" spans="1:7">
      <c r="A314" s="215" t="s">
        <v>216</v>
      </c>
      <c r="B314" s="216"/>
      <c r="C314" s="79">
        <f t="shared" si="6"/>
        <v>0</v>
      </c>
      <c r="D314" s="174">
        <f t="shared" si="5"/>
        <v>0</v>
      </c>
      <c r="E314" s="179"/>
      <c r="F314" s="179"/>
      <c r="G314" s="180"/>
    </row>
    <row r="315" spans="1:7">
      <c r="A315" s="215" t="s">
        <v>217</v>
      </c>
      <c r="B315" s="216"/>
      <c r="C315" s="79">
        <f t="shared" si="6"/>
        <v>0</v>
      </c>
      <c r="D315" s="174">
        <f t="shared" si="5"/>
        <v>0</v>
      </c>
      <c r="E315" s="179"/>
      <c r="F315" s="179"/>
      <c r="G315" s="180"/>
    </row>
    <row r="316" spans="1:7">
      <c r="A316" s="215" t="s">
        <v>218</v>
      </c>
      <c r="B316" s="216"/>
      <c r="C316" s="79">
        <f t="shared" si="6"/>
        <v>0</v>
      </c>
      <c r="D316" s="174">
        <f t="shared" si="5"/>
        <v>0</v>
      </c>
      <c r="E316" s="179"/>
      <c r="F316" s="179"/>
      <c r="G316" s="180"/>
    </row>
    <row r="317" spans="1:7">
      <c r="A317" s="215" t="s">
        <v>219</v>
      </c>
      <c r="B317" s="216"/>
      <c r="C317" s="79">
        <f t="shared" si="6"/>
        <v>0</v>
      </c>
      <c r="D317" s="174">
        <f t="shared" si="5"/>
        <v>0</v>
      </c>
      <c r="E317" s="179"/>
      <c r="F317" s="179"/>
      <c r="G317" s="180"/>
    </row>
    <row r="318" spans="1:7">
      <c r="A318" s="215" t="s">
        <v>220</v>
      </c>
      <c r="B318" s="216"/>
      <c r="C318" s="79">
        <f t="shared" si="6"/>
        <v>0</v>
      </c>
      <c r="D318" s="174">
        <f t="shared" si="5"/>
        <v>0</v>
      </c>
      <c r="E318" s="179"/>
      <c r="F318" s="179"/>
      <c r="G318" s="180"/>
    </row>
    <row r="319" spans="1:7">
      <c r="A319" s="215" t="s">
        <v>221</v>
      </c>
      <c r="B319" s="216"/>
      <c r="C319" s="79">
        <f t="shared" si="6"/>
        <v>0</v>
      </c>
      <c r="D319" s="174">
        <f t="shared" si="5"/>
        <v>0</v>
      </c>
      <c r="E319" s="179"/>
      <c r="F319" s="179"/>
      <c r="G319" s="180"/>
    </row>
    <row r="320" ht="15.75" spans="1:7">
      <c r="A320" s="217" t="s">
        <v>221</v>
      </c>
      <c r="B320" s="218"/>
      <c r="C320" s="79">
        <f t="shared" si="6"/>
        <v>0</v>
      </c>
      <c r="D320" s="184"/>
      <c r="E320" s="184"/>
      <c r="F320" s="184"/>
      <c r="G320" s="185"/>
    </row>
    <row r="321" ht="15.75" spans="1:7">
      <c r="A321" s="186"/>
      <c r="B321" s="219"/>
      <c r="D321" s="220"/>
      <c r="E321" s="221"/>
      <c r="F321" s="221"/>
      <c r="G321" s="222"/>
    </row>
    <row r="322" ht="51" spans="1:7">
      <c r="A322" s="191" t="s">
        <v>233</v>
      </c>
      <c r="B322" s="192"/>
      <c r="D322" s="193"/>
      <c r="E322" s="194"/>
      <c r="F322" s="195"/>
      <c r="G322" s="196"/>
    </row>
    <row r="323" ht="53.25" customHeight="1" spans="1:7">
      <c r="A323" s="197" t="s">
        <v>224</v>
      </c>
      <c r="B323" s="198"/>
      <c r="D323" s="199"/>
      <c r="E323" s="200"/>
      <c r="F323" s="200"/>
      <c r="G323" s="201"/>
    </row>
    <row r="324" ht="78" customHeight="1" spans="1:7">
      <c r="A324" s="202" t="s">
        <v>225</v>
      </c>
      <c r="B324" s="203"/>
      <c r="D324" s="184"/>
      <c r="E324" s="183">
        <f>0.6*E322</f>
        <v>0</v>
      </c>
      <c r="F324" s="183">
        <f>0.6*F322</f>
        <v>0</v>
      </c>
      <c r="G324" s="204"/>
    </row>
    <row r="325" ht="15.75"/>
    <row r="326" ht="51.75" spans="1:2">
      <c r="A326" s="205" t="s">
        <v>224</v>
      </c>
      <c r="B326" s="166">
        <f>B323</f>
        <v>0</v>
      </c>
    </row>
    <row r="327" spans="1:2">
      <c r="A327" s="542" t="s">
        <v>226</v>
      </c>
      <c r="B327" s="207" t="e">
        <f>AVERAGE(B275:B314)</f>
        <v>#DIV/0!</v>
      </c>
    </row>
    <row r="328" spans="1:2">
      <c r="A328" s="543" t="s">
        <v>227</v>
      </c>
      <c r="B328" s="209" t="e">
        <f>AVERAGE(B280:B309)</f>
        <v>#DIV/0!</v>
      </c>
    </row>
    <row r="329" ht="15.75" spans="1:2">
      <c r="A329" s="544" t="s">
        <v>228</v>
      </c>
      <c r="B329" s="211" t="e">
        <f>AVERAGE(B286:B304)</f>
        <v>#DIV/0!</v>
      </c>
    </row>
    <row r="330" ht="15.75"/>
    <row r="331" customHeight="1" spans="1:7">
      <c r="A331" s="155" t="s">
        <v>165</v>
      </c>
      <c r="B331" s="156" t="s">
        <v>37</v>
      </c>
      <c r="C331" s="157"/>
      <c r="D331" s="158"/>
      <c r="E331" s="159" t="e">
        <f>(1-E386)^(1/3)-1</f>
        <v>#DIV/0!</v>
      </c>
      <c r="F331" s="160" t="e">
        <f>(1-F386)^(1/3)-1</f>
        <v>#DIV/0!</v>
      </c>
      <c r="G331" s="161"/>
    </row>
    <row r="332" ht="77.25" spans="1:7">
      <c r="A332" s="162"/>
      <c r="B332" s="130" t="s">
        <v>167</v>
      </c>
      <c r="D332" s="130" t="s">
        <v>168</v>
      </c>
      <c r="E332" s="130" t="s">
        <v>169</v>
      </c>
      <c r="F332" s="130" t="s">
        <v>169</v>
      </c>
      <c r="G332" s="130"/>
    </row>
    <row r="333" ht="26.25" spans="1:7">
      <c r="A333" s="163"/>
      <c r="B333" s="164" t="s">
        <v>407</v>
      </c>
      <c r="D333" s="164" t="s">
        <v>171</v>
      </c>
      <c r="E333" s="538" t="s">
        <v>401</v>
      </c>
      <c r="F333" s="539" t="s">
        <v>402</v>
      </c>
      <c r="G333" s="166"/>
    </row>
    <row r="334" ht="15.75" spans="1:7">
      <c r="A334" s="167">
        <v>1</v>
      </c>
      <c r="B334" s="212">
        <v>2</v>
      </c>
      <c r="D334" s="131">
        <v>3</v>
      </c>
      <c r="E334" s="169">
        <v>4</v>
      </c>
      <c r="F334" s="131">
        <v>5</v>
      </c>
      <c r="G334" s="169"/>
    </row>
    <row r="335" spans="1:7">
      <c r="A335" s="545" t="s">
        <v>172</v>
      </c>
      <c r="B335" s="214"/>
      <c r="D335" s="174">
        <f>IF(B335=0,0,IF(B335&lt;=E$389,0,B335-E$389)/B335)</f>
        <v>0</v>
      </c>
      <c r="E335" s="175" t="e">
        <f>IF($B335&lt;=E$389,0,IF(AND(E$389&lt;$B335,$B335&lt;=E$387),$E$1*($B335-E$389),$E$1*(E$387-E$389)+$F$1*($B335-E$387)))/$B335</f>
        <v>#DIV/0!</v>
      </c>
      <c r="F335" s="175" t="e">
        <f>IF($B335&lt;=F$389,0,IF(AND(F$389&lt;$B335,$B335&lt;=F$387),$E$1*($B335-F$389),$E$1*(F$387-F$389)+$F$1*($B335-F$387)))/$B335</f>
        <v>#DIV/0!</v>
      </c>
      <c r="G335" s="176"/>
    </row>
    <row r="336" ht="15.75" spans="1:7">
      <c r="A336" s="546" t="s">
        <v>173</v>
      </c>
      <c r="B336" s="216"/>
      <c r="C336" s="131"/>
      <c r="D336" s="174">
        <f t="shared" ref="D336:D384" si="7">IF(B336=0,0,IF(B336&lt;=E$389,0,B336-E$389)/B336)</f>
        <v>0</v>
      </c>
      <c r="E336" s="179"/>
      <c r="F336" s="179"/>
      <c r="G336" s="180"/>
    </row>
    <row r="337" spans="1:7">
      <c r="A337" s="546" t="s">
        <v>174</v>
      </c>
      <c r="B337" s="216"/>
      <c r="C337">
        <v>0</v>
      </c>
      <c r="D337" s="174">
        <f t="shared" si="7"/>
        <v>0</v>
      </c>
      <c r="E337" s="179"/>
      <c r="F337" s="179"/>
      <c r="G337" s="180"/>
    </row>
    <row r="338" spans="1:7">
      <c r="A338" s="546" t="s">
        <v>175</v>
      </c>
      <c r="B338" s="216"/>
      <c r="C338" s="79">
        <f>B337</f>
        <v>0</v>
      </c>
      <c r="D338" s="174">
        <f t="shared" si="7"/>
        <v>0</v>
      </c>
      <c r="E338" s="179"/>
      <c r="F338" s="179"/>
      <c r="G338" s="180"/>
    </row>
    <row r="339" spans="1:7">
      <c r="A339" s="546" t="s">
        <v>176</v>
      </c>
      <c r="B339" s="216"/>
      <c r="C339" s="79">
        <f t="shared" ref="C339:C387" si="8">B338</f>
        <v>0</v>
      </c>
      <c r="D339" s="174">
        <f t="shared" si="7"/>
        <v>0</v>
      </c>
      <c r="E339" s="179"/>
      <c r="F339" s="179"/>
      <c r="G339" s="180"/>
    </row>
    <row r="340" spans="1:7">
      <c r="A340" s="546" t="s">
        <v>177</v>
      </c>
      <c r="B340" s="216"/>
      <c r="C340" s="79">
        <f t="shared" si="8"/>
        <v>0</v>
      </c>
      <c r="D340" s="174">
        <f t="shared" si="7"/>
        <v>0</v>
      </c>
      <c r="E340" s="179"/>
      <c r="F340" s="179"/>
      <c r="G340" s="180"/>
    </row>
    <row r="341" spans="1:7">
      <c r="A341" s="546" t="s">
        <v>178</v>
      </c>
      <c r="B341" s="216"/>
      <c r="C341" s="79">
        <f t="shared" si="8"/>
        <v>0</v>
      </c>
      <c r="D341" s="174">
        <f t="shared" si="7"/>
        <v>0</v>
      </c>
      <c r="E341" s="179"/>
      <c r="F341" s="179"/>
      <c r="G341" s="180"/>
    </row>
    <row r="342" spans="1:7">
      <c r="A342" s="215" t="s">
        <v>179</v>
      </c>
      <c r="B342" s="216"/>
      <c r="C342" s="79">
        <f t="shared" si="8"/>
        <v>0</v>
      </c>
      <c r="D342" s="174">
        <f t="shared" si="7"/>
        <v>0</v>
      </c>
      <c r="E342" s="179"/>
      <c r="F342" s="179"/>
      <c r="G342" s="180"/>
    </row>
    <row r="343" spans="1:7">
      <c r="A343" s="215" t="s">
        <v>180</v>
      </c>
      <c r="B343" s="216"/>
      <c r="C343" s="79">
        <f t="shared" si="8"/>
        <v>0</v>
      </c>
      <c r="D343" s="174">
        <f t="shared" si="7"/>
        <v>0</v>
      </c>
      <c r="E343" s="179"/>
      <c r="F343" s="179"/>
      <c r="G343" s="180"/>
    </row>
    <row r="344" spans="1:7">
      <c r="A344" s="215" t="s">
        <v>181</v>
      </c>
      <c r="B344" s="216"/>
      <c r="C344" s="79">
        <f t="shared" si="8"/>
        <v>0</v>
      </c>
      <c r="D344" s="174">
        <f t="shared" si="7"/>
        <v>0</v>
      </c>
      <c r="E344" s="179"/>
      <c r="F344" s="179"/>
      <c r="G344" s="180"/>
    </row>
    <row r="345" spans="1:7">
      <c r="A345" s="215" t="s">
        <v>182</v>
      </c>
      <c r="B345" s="216"/>
      <c r="C345" s="79">
        <f t="shared" si="8"/>
        <v>0</v>
      </c>
      <c r="D345" s="174">
        <f t="shared" si="7"/>
        <v>0</v>
      </c>
      <c r="E345" s="179"/>
      <c r="F345" s="179"/>
      <c r="G345" s="180"/>
    </row>
    <row r="346" spans="1:7">
      <c r="A346" s="215" t="s">
        <v>183</v>
      </c>
      <c r="B346" s="216"/>
      <c r="C346" s="79">
        <f t="shared" si="8"/>
        <v>0</v>
      </c>
      <c r="D346" s="174">
        <f t="shared" si="7"/>
        <v>0</v>
      </c>
      <c r="E346" s="179"/>
      <c r="F346" s="179"/>
      <c r="G346" s="180"/>
    </row>
    <row r="347" spans="1:7">
      <c r="A347" s="215" t="s">
        <v>184</v>
      </c>
      <c r="B347" s="216"/>
      <c r="C347" s="79">
        <f t="shared" si="8"/>
        <v>0</v>
      </c>
      <c r="D347" s="174">
        <f t="shared" si="7"/>
        <v>0</v>
      </c>
      <c r="E347" s="179"/>
      <c r="F347" s="179"/>
      <c r="G347" s="180"/>
    </row>
    <row r="348" spans="1:7">
      <c r="A348" s="215" t="s">
        <v>185</v>
      </c>
      <c r="B348" s="216"/>
      <c r="C348" s="79">
        <f t="shared" si="8"/>
        <v>0</v>
      </c>
      <c r="D348" s="174">
        <f t="shared" si="7"/>
        <v>0</v>
      </c>
      <c r="E348" s="179"/>
      <c r="F348" s="179"/>
      <c r="G348" s="180"/>
    </row>
    <row r="349" spans="1:7">
      <c r="A349" s="215" t="s">
        <v>186</v>
      </c>
      <c r="B349" s="216"/>
      <c r="C349" s="79">
        <f t="shared" si="8"/>
        <v>0</v>
      </c>
      <c r="D349" s="174">
        <f t="shared" si="7"/>
        <v>0</v>
      </c>
      <c r="E349" s="179"/>
      <c r="F349" s="179"/>
      <c r="G349" s="180"/>
    </row>
    <row r="350" spans="1:7">
      <c r="A350" s="215" t="s">
        <v>187</v>
      </c>
      <c r="B350" s="216"/>
      <c r="C350" s="79">
        <f t="shared" si="8"/>
        <v>0</v>
      </c>
      <c r="D350" s="174">
        <f t="shared" si="7"/>
        <v>0</v>
      </c>
      <c r="E350" s="179"/>
      <c r="F350" s="179"/>
      <c r="G350" s="180"/>
    </row>
    <row r="351" spans="1:7">
      <c r="A351" s="215" t="s">
        <v>188</v>
      </c>
      <c r="B351" s="216"/>
      <c r="C351" s="79">
        <f t="shared" si="8"/>
        <v>0</v>
      </c>
      <c r="D351" s="174">
        <f t="shared" si="7"/>
        <v>0</v>
      </c>
      <c r="E351" s="179"/>
      <c r="F351" s="179"/>
      <c r="G351" s="180"/>
    </row>
    <row r="352" spans="1:7">
      <c r="A352" s="215" t="s">
        <v>189</v>
      </c>
      <c r="B352" s="216"/>
      <c r="C352" s="79">
        <f t="shared" si="8"/>
        <v>0</v>
      </c>
      <c r="D352" s="174">
        <f t="shared" si="7"/>
        <v>0</v>
      </c>
      <c r="E352" s="179"/>
      <c r="F352" s="179"/>
      <c r="G352" s="180"/>
    </row>
    <row r="353" spans="1:7">
      <c r="A353" s="215" t="s">
        <v>190</v>
      </c>
      <c r="B353" s="216"/>
      <c r="C353" s="79">
        <f t="shared" si="8"/>
        <v>0</v>
      </c>
      <c r="D353" s="174">
        <f t="shared" si="7"/>
        <v>0</v>
      </c>
      <c r="E353" s="179"/>
      <c r="F353" s="179"/>
      <c r="G353" s="180"/>
    </row>
    <row r="354" spans="1:7">
      <c r="A354" s="215" t="s">
        <v>191</v>
      </c>
      <c r="B354" s="216"/>
      <c r="C354" s="79">
        <f t="shared" si="8"/>
        <v>0</v>
      </c>
      <c r="D354" s="174">
        <f t="shared" si="7"/>
        <v>0</v>
      </c>
      <c r="E354" s="179"/>
      <c r="F354" s="179"/>
      <c r="G354" s="180"/>
    </row>
    <row r="355" spans="1:7">
      <c r="A355" s="215" t="s">
        <v>192</v>
      </c>
      <c r="B355" s="216"/>
      <c r="C355" s="79">
        <f t="shared" si="8"/>
        <v>0</v>
      </c>
      <c r="D355" s="174">
        <f t="shared" si="7"/>
        <v>0</v>
      </c>
      <c r="E355" s="179"/>
      <c r="F355" s="179"/>
      <c r="G355" s="180"/>
    </row>
    <row r="356" spans="1:7">
      <c r="A356" s="215" t="s">
        <v>193</v>
      </c>
      <c r="B356" s="216"/>
      <c r="C356" s="79">
        <f t="shared" si="8"/>
        <v>0</v>
      </c>
      <c r="D356" s="174">
        <f t="shared" si="7"/>
        <v>0</v>
      </c>
      <c r="E356" s="179"/>
      <c r="F356" s="179"/>
      <c r="G356" s="180"/>
    </row>
    <row r="357" spans="1:7">
      <c r="A357" s="215" t="s">
        <v>194</v>
      </c>
      <c r="B357" s="216"/>
      <c r="C357" s="79">
        <f t="shared" si="8"/>
        <v>0</v>
      </c>
      <c r="D357" s="174">
        <f t="shared" si="7"/>
        <v>0</v>
      </c>
      <c r="E357" s="179"/>
      <c r="F357" s="179"/>
      <c r="G357" s="180"/>
    </row>
    <row r="358" spans="1:7">
      <c r="A358" s="215" t="s">
        <v>195</v>
      </c>
      <c r="B358" s="216"/>
      <c r="C358" s="79">
        <f t="shared" si="8"/>
        <v>0</v>
      </c>
      <c r="D358" s="174">
        <f t="shared" si="7"/>
        <v>0</v>
      </c>
      <c r="E358" s="179"/>
      <c r="F358" s="179"/>
      <c r="G358" s="180"/>
    </row>
    <row r="359" spans="1:7">
      <c r="A359" s="215" t="s">
        <v>196</v>
      </c>
      <c r="B359" s="216"/>
      <c r="C359" s="79">
        <f t="shared" si="8"/>
        <v>0</v>
      </c>
      <c r="D359" s="174">
        <f t="shared" si="7"/>
        <v>0</v>
      </c>
      <c r="E359" s="179"/>
      <c r="F359" s="179"/>
      <c r="G359" s="180"/>
    </row>
    <row r="360" spans="1:7">
      <c r="A360" s="215" t="s">
        <v>197</v>
      </c>
      <c r="B360" s="216"/>
      <c r="C360" s="79">
        <f t="shared" si="8"/>
        <v>0</v>
      </c>
      <c r="D360" s="174">
        <f t="shared" si="7"/>
        <v>0</v>
      </c>
      <c r="E360" s="179"/>
      <c r="F360" s="179"/>
      <c r="G360" s="180"/>
    </row>
    <row r="361" spans="1:7">
      <c r="A361" s="215" t="s">
        <v>198</v>
      </c>
      <c r="B361" s="216"/>
      <c r="C361" s="79">
        <f t="shared" si="8"/>
        <v>0</v>
      </c>
      <c r="D361" s="174">
        <f t="shared" si="7"/>
        <v>0</v>
      </c>
      <c r="E361" s="179"/>
      <c r="F361" s="179"/>
      <c r="G361" s="180"/>
    </row>
    <row r="362" spans="1:7">
      <c r="A362" s="215" t="s">
        <v>199</v>
      </c>
      <c r="B362" s="216"/>
      <c r="C362" s="79">
        <f t="shared" si="8"/>
        <v>0</v>
      </c>
      <c r="D362" s="174">
        <f t="shared" si="7"/>
        <v>0</v>
      </c>
      <c r="E362" s="179"/>
      <c r="F362" s="179"/>
      <c r="G362" s="180"/>
    </row>
    <row r="363" spans="1:7">
      <c r="A363" s="215" t="s">
        <v>200</v>
      </c>
      <c r="B363" s="216"/>
      <c r="C363" s="79">
        <f t="shared" si="8"/>
        <v>0</v>
      </c>
      <c r="D363" s="174">
        <f t="shared" si="7"/>
        <v>0</v>
      </c>
      <c r="E363" s="179"/>
      <c r="F363" s="179"/>
      <c r="G363" s="180"/>
    </row>
    <row r="364" spans="1:7">
      <c r="A364" s="215" t="s">
        <v>201</v>
      </c>
      <c r="B364" s="216"/>
      <c r="C364" s="79">
        <f t="shared" si="8"/>
        <v>0</v>
      </c>
      <c r="D364" s="174">
        <f t="shared" si="7"/>
        <v>0</v>
      </c>
      <c r="E364" s="179"/>
      <c r="F364" s="179"/>
      <c r="G364" s="180"/>
    </row>
    <row r="365" spans="1:7">
      <c r="A365" s="215" t="s">
        <v>202</v>
      </c>
      <c r="B365" s="216"/>
      <c r="C365" s="79">
        <f t="shared" si="8"/>
        <v>0</v>
      </c>
      <c r="D365" s="174">
        <f t="shared" si="7"/>
        <v>0</v>
      </c>
      <c r="E365" s="179"/>
      <c r="F365" s="179"/>
      <c r="G365" s="180"/>
    </row>
    <row r="366" spans="1:7">
      <c r="A366" s="215" t="s">
        <v>203</v>
      </c>
      <c r="B366" s="216"/>
      <c r="C366" s="79">
        <f t="shared" si="8"/>
        <v>0</v>
      </c>
      <c r="D366" s="174">
        <f t="shared" si="7"/>
        <v>0</v>
      </c>
      <c r="E366" s="179"/>
      <c r="F366" s="179"/>
      <c r="G366" s="180"/>
    </row>
    <row r="367" spans="1:7">
      <c r="A367" s="215" t="s">
        <v>204</v>
      </c>
      <c r="B367" s="216"/>
      <c r="C367" s="79">
        <f t="shared" si="8"/>
        <v>0</v>
      </c>
      <c r="D367" s="174">
        <f t="shared" si="7"/>
        <v>0</v>
      </c>
      <c r="E367" s="179"/>
      <c r="F367" s="179"/>
      <c r="G367" s="180"/>
    </row>
    <row r="368" spans="1:7">
      <c r="A368" s="215" t="s">
        <v>205</v>
      </c>
      <c r="B368" s="216"/>
      <c r="C368" s="79">
        <f t="shared" si="8"/>
        <v>0</v>
      </c>
      <c r="D368" s="174">
        <f t="shared" si="7"/>
        <v>0</v>
      </c>
      <c r="E368" s="179"/>
      <c r="F368" s="179"/>
      <c r="G368" s="180"/>
    </row>
    <row r="369" spans="1:7">
      <c r="A369" s="215" t="s">
        <v>206</v>
      </c>
      <c r="B369" s="216"/>
      <c r="C369" s="79">
        <f t="shared" si="8"/>
        <v>0</v>
      </c>
      <c r="D369" s="174">
        <f t="shared" si="7"/>
        <v>0</v>
      </c>
      <c r="E369" s="179"/>
      <c r="F369" s="179"/>
      <c r="G369" s="180"/>
    </row>
    <row r="370" spans="1:7">
      <c r="A370" s="215" t="s">
        <v>207</v>
      </c>
      <c r="B370" s="216"/>
      <c r="C370" s="79">
        <f t="shared" si="8"/>
        <v>0</v>
      </c>
      <c r="D370" s="174">
        <f t="shared" si="7"/>
        <v>0</v>
      </c>
      <c r="E370" s="179"/>
      <c r="F370" s="179"/>
      <c r="G370" s="180"/>
    </row>
    <row r="371" spans="1:7">
      <c r="A371" s="215" t="s">
        <v>208</v>
      </c>
      <c r="B371" s="216"/>
      <c r="C371" s="79">
        <f t="shared" si="8"/>
        <v>0</v>
      </c>
      <c r="D371" s="174">
        <f t="shared" si="7"/>
        <v>0</v>
      </c>
      <c r="E371" s="179"/>
      <c r="F371" s="179"/>
      <c r="G371" s="180"/>
    </row>
    <row r="372" spans="1:7">
      <c r="A372" s="215" t="s">
        <v>209</v>
      </c>
      <c r="B372" s="216"/>
      <c r="C372" s="79">
        <f t="shared" si="8"/>
        <v>0</v>
      </c>
      <c r="D372" s="174">
        <f t="shared" si="7"/>
        <v>0</v>
      </c>
      <c r="E372" s="179"/>
      <c r="F372" s="179"/>
      <c r="G372" s="180"/>
    </row>
    <row r="373" spans="1:7">
      <c r="A373" s="215" t="s">
        <v>210</v>
      </c>
      <c r="B373" s="216"/>
      <c r="C373" s="79">
        <f t="shared" si="8"/>
        <v>0</v>
      </c>
      <c r="D373" s="174">
        <f t="shared" si="7"/>
        <v>0</v>
      </c>
      <c r="E373" s="179"/>
      <c r="F373" s="179"/>
      <c r="G373" s="180"/>
    </row>
    <row r="374" spans="1:7">
      <c r="A374" s="215" t="s">
        <v>211</v>
      </c>
      <c r="B374" s="216"/>
      <c r="C374" s="79">
        <f t="shared" si="8"/>
        <v>0</v>
      </c>
      <c r="D374" s="174">
        <f t="shared" si="7"/>
        <v>0</v>
      </c>
      <c r="E374" s="179"/>
      <c r="F374" s="179"/>
      <c r="G374" s="180"/>
    </row>
    <row r="375" spans="1:7">
      <c r="A375" s="215" t="s">
        <v>212</v>
      </c>
      <c r="B375" s="216"/>
      <c r="C375" s="79">
        <f t="shared" si="8"/>
        <v>0</v>
      </c>
      <c r="D375" s="174">
        <f t="shared" si="7"/>
        <v>0</v>
      </c>
      <c r="E375" s="179"/>
      <c r="F375" s="179"/>
      <c r="G375" s="180"/>
    </row>
    <row r="376" spans="1:7">
      <c r="A376" s="215" t="s">
        <v>213</v>
      </c>
      <c r="B376" s="216"/>
      <c r="C376" s="79">
        <f t="shared" si="8"/>
        <v>0</v>
      </c>
      <c r="D376" s="174">
        <f t="shared" si="7"/>
        <v>0</v>
      </c>
      <c r="E376" s="179"/>
      <c r="F376" s="179"/>
      <c r="G376" s="180"/>
    </row>
    <row r="377" spans="1:7">
      <c r="A377" s="215" t="s">
        <v>214</v>
      </c>
      <c r="B377" s="216"/>
      <c r="C377" s="79">
        <f t="shared" si="8"/>
        <v>0</v>
      </c>
      <c r="D377" s="174">
        <f t="shared" si="7"/>
        <v>0</v>
      </c>
      <c r="E377" s="179"/>
      <c r="F377" s="179"/>
      <c r="G377" s="180"/>
    </row>
    <row r="378" spans="1:7">
      <c r="A378" s="215" t="s">
        <v>215</v>
      </c>
      <c r="B378" s="216"/>
      <c r="C378" s="79">
        <f t="shared" si="8"/>
        <v>0</v>
      </c>
      <c r="D378" s="174">
        <f t="shared" si="7"/>
        <v>0</v>
      </c>
      <c r="E378" s="179"/>
      <c r="F378" s="179"/>
      <c r="G378" s="180"/>
    </row>
    <row r="379" spans="1:7">
      <c r="A379" s="215" t="s">
        <v>216</v>
      </c>
      <c r="B379" s="216"/>
      <c r="C379" s="79">
        <f t="shared" si="8"/>
        <v>0</v>
      </c>
      <c r="D379" s="174">
        <f t="shared" si="7"/>
        <v>0</v>
      </c>
      <c r="E379" s="179"/>
      <c r="F379" s="179"/>
      <c r="G379" s="180"/>
    </row>
    <row r="380" spans="1:7">
      <c r="A380" s="215" t="s">
        <v>217</v>
      </c>
      <c r="B380" s="216"/>
      <c r="C380" s="79">
        <f t="shared" si="8"/>
        <v>0</v>
      </c>
      <c r="D380" s="174">
        <f t="shared" si="7"/>
        <v>0</v>
      </c>
      <c r="E380" s="179"/>
      <c r="F380" s="179"/>
      <c r="G380" s="180"/>
    </row>
    <row r="381" spans="1:7">
      <c r="A381" s="215" t="s">
        <v>218</v>
      </c>
      <c r="B381" s="216"/>
      <c r="C381" s="79">
        <f t="shared" si="8"/>
        <v>0</v>
      </c>
      <c r="D381" s="174">
        <f t="shared" si="7"/>
        <v>0</v>
      </c>
      <c r="E381" s="179"/>
      <c r="F381" s="179"/>
      <c r="G381" s="180"/>
    </row>
    <row r="382" spans="1:7">
      <c r="A382" s="215" t="s">
        <v>219</v>
      </c>
      <c r="B382" s="216"/>
      <c r="C382" s="79">
        <f t="shared" si="8"/>
        <v>0</v>
      </c>
      <c r="D382" s="174">
        <f t="shared" si="7"/>
        <v>0</v>
      </c>
      <c r="E382" s="179"/>
      <c r="F382" s="179"/>
      <c r="G382" s="180"/>
    </row>
    <row r="383" spans="1:7">
      <c r="A383" s="215" t="s">
        <v>220</v>
      </c>
      <c r="B383" s="216"/>
      <c r="C383" s="79">
        <f t="shared" si="8"/>
        <v>0</v>
      </c>
      <c r="D383" s="174">
        <f t="shared" si="7"/>
        <v>0</v>
      </c>
      <c r="E383" s="179"/>
      <c r="F383" s="179"/>
      <c r="G383" s="180"/>
    </row>
    <row r="384" spans="1:7">
      <c r="A384" s="215" t="s">
        <v>221</v>
      </c>
      <c r="B384" s="216"/>
      <c r="C384" s="79">
        <f t="shared" si="8"/>
        <v>0</v>
      </c>
      <c r="D384" s="174">
        <f t="shared" si="7"/>
        <v>0</v>
      </c>
      <c r="E384" s="179"/>
      <c r="F384" s="179"/>
      <c r="G384" s="180"/>
    </row>
    <row r="385" ht="15.75" spans="1:7">
      <c r="A385" s="217" t="s">
        <v>221</v>
      </c>
      <c r="B385" s="239"/>
      <c r="C385" s="79">
        <f t="shared" si="8"/>
        <v>0</v>
      </c>
      <c r="D385" s="184"/>
      <c r="E385" s="184"/>
      <c r="F385" s="184"/>
      <c r="G385" s="185"/>
    </row>
    <row r="386" ht="15.75" spans="1:7">
      <c r="A386" s="186"/>
      <c r="B386" s="219"/>
      <c r="C386" s="79">
        <f t="shared" si="8"/>
        <v>0</v>
      </c>
      <c r="D386" s="220"/>
      <c r="E386" s="221" t="e">
        <f>AVERAGE(E335:E384)</f>
        <v>#DIV/0!</v>
      </c>
      <c r="F386" s="221" t="e">
        <f>AVERAGE(F335:F385)</f>
        <v>#DIV/0!</v>
      </c>
      <c r="G386" s="222"/>
    </row>
    <row r="387" ht="52.5" customHeight="1" spans="1:7">
      <c r="A387" s="191" t="s">
        <v>233</v>
      </c>
      <c r="B387" s="192"/>
      <c r="C387" s="79">
        <f t="shared" si="8"/>
        <v>0</v>
      </c>
      <c r="D387" s="193"/>
      <c r="E387" s="194">
        <f>B388</f>
        <v>0</v>
      </c>
      <c r="F387" s="195" t="e">
        <f>B392</f>
        <v>#DIV/0!</v>
      </c>
      <c r="G387" s="196"/>
    </row>
    <row r="388" ht="54.75" customHeight="1" spans="1:7">
      <c r="A388" s="197" t="s">
        <v>224</v>
      </c>
      <c r="B388" s="198"/>
      <c r="D388" s="199"/>
      <c r="E388" s="200"/>
      <c r="F388" s="200"/>
      <c r="G388" s="201"/>
    </row>
    <row r="389" ht="78" customHeight="1" spans="1:7">
      <c r="A389" s="202" t="s">
        <v>225</v>
      </c>
      <c r="B389" s="203"/>
      <c r="D389" s="184"/>
      <c r="E389" s="183">
        <f>0.6*E387</f>
        <v>0</v>
      </c>
      <c r="F389" s="183" t="e">
        <f>0.6*F387</f>
        <v>#DIV/0!</v>
      </c>
      <c r="G389" s="204"/>
    </row>
    <row r="390" customHeight="1"/>
    <row r="391" ht="51.75" spans="1:2">
      <c r="A391" s="205" t="s">
        <v>224</v>
      </c>
      <c r="B391" s="166">
        <f>B388</f>
        <v>0</v>
      </c>
    </row>
    <row r="392" spans="1:2">
      <c r="A392" s="542" t="s">
        <v>226</v>
      </c>
      <c r="B392" s="207" t="e">
        <f>AVERAGE(B340:B379)</f>
        <v>#DIV/0!</v>
      </c>
    </row>
    <row r="393" spans="1:2">
      <c r="A393" s="543" t="s">
        <v>227</v>
      </c>
      <c r="B393" s="209" t="e">
        <f>AVERAGE(B345:B374)</f>
        <v>#DIV/0!</v>
      </c>
    </row>
    <row r="394" ht="15.75" spans="1:2">
      <c r="A394" s="544" t="s">
        <v>228</v>
      </c>
      <c r="B394" s="211" t="e">
        <f>AVERAGE(B351:B369)</f>
        <v>#DIV/0!</v>
      </c>
    </row>
    <row r="395" ht="15.75"/>
    <row r="396" ht="15.75" customHeight="1" spans="1:7">
      <c r="A396" s="155" t="s">
        <v>165</v>
      </c>
      <c r="B396" s="156" t="s">
        <v>408</v>
      </c>
      <c r="C396" s="157"/>
      <c r="D396" s="158"/>
      <c r="E396" s="159">
        <f>(1-E451)^(1/3)-1</f>
        <v>0</v>
      </c>
      <c r="F396" s="160">
        <f>(1-F451)^(1/3)-1</f>
        <v>0</v>
      </c>
      <c r="G396" s="161"/>
    </row>
    <row r="397" ht="77.25" spans="1:7">
      <c r="A397" s="162"/>
      <c r="B397" s="130" t="s">
        <v>167</v>
      </c>
      <c r="D397" s="130" t="s">
        <v>168</v>
      </c>
      <c r="E397" s="130" t="s">
        <v>169</v>
      </c>
      <c r="F397" s="130" t="s">
        <v>169</v>
      </c>
      <c r="G397" s="130"/>
    </row>
    <row r="398" ht="15.75" spans="1:7">
      <c r="A398" s="163"/>
      <c r="B398" s="164" t="s">
        <v>409</v>
      </c>
      <c r="D398" s="164" t="s">
        <v>171</v>
      </c>
      <c r="E398" s="538" t="s">
        <v>401</v>
      </c>
      <c r="F398" s="539" t="s">
        <v>402</v>
      </c>
      <c r="G398" s="166"/>
    </row>
    <row r="399" ht="15.75" spans="1:7">
      <c r="A399" s="167">
        <v>1</v>
      </c>
      <c r="B399" s="212">
        <v>2</v>
      </c>
      <c r="D399" s="131">
        <v>3</v>
      </c>
      <c r="E399" s="169">
        <v>4</v>
      </c>
      <c r="F399" s="131">
        <v>5</v>
      </c>
      <c r="G399" s="169"/>
    </row>
    <row r="400" spans="1:7">
      <c r="A400" s="545" t="s">
        <v>172</v>
      </c>
      <c r="B400" s="214"/>
      <c r="D400" s="174">
        <f>IF(B400=0,0,IF(B400&lt;=E$454,0,B400-E$454)/B400)</f>
        <v>0</v>
      </c>
      <c r="E400" s="175"/>
      <c r="F400" s="175"/>
      <c r="G400" s="176"/>
    </row>
    <row r="401" spans="1:7">
      <c r="A401" s="546" t="s">
        <v>173</v>
      </c>
      <c r="B401" s="216"/>
      <c r="D401" s="174">
        <f t="shared" ref="D401:D449" si="9">IF(B401=0,0,IF(B401&lt;=E$454,0,B401-E$454)/B401)</f>
        <v>0</v>
      </c>
      <c r="E401" s="179"/>
      <c r="F401" s="179"/>
      <c r="G401" s="180"/>
    </row>
    <row r="402" spans="1:7">
      <c r="A402" s="546" t="s">
        <v>174</v>
      </c>
      <c r="B402" s="216"/>
      <c r="C402">
        <v>0</v>
      </c>
      <c r="D402" s="174">
        <f t="shared" si="9"/>
        <v>0</v>
      </c>
      <c r="E402" s="179"/>
      <c r="F402" s="179"/>
      <c r="G402" s="180"/>
    </row>
    <row r="403" spans="1:7">
      <c r="A403" s="546" t="s">
        <v>175</v>
      </c>
      <c r="B403" s="216"/>
      <c r="C403" s="79">
        <f>B402</f>
        <v>0</v>
      </c>
      <c r="D403" s="174">
        <f t="shared" si="9"/>
        <v>0</v>
      </c>
      <c r="E403" s="179"/>
      <c r="F403" s="179"/>
      <c r="G403" s="180"/>
    </row>
    <row r="404" spans="1:7">
      <c r="A404" s="546" t="s">
        <v>176</v>
      </c>
      <c r="B404" s="216"/>
      <c r="C404" s="79">
        <f t="shared" ref="C404:C452" si="10">B403</f>
        <v>0</v>
      </c>
      <c r="D404" s="174">
        <f t="shared" si="9"/>
        <v>0</v>
      </c>
      <c r="E404" s="179"/>
      <c r="F404" s="179"/>
      <c r="G404" s="180"/>
    </row>
    <row r="405" spans="1:7">
      <c r="A405" s="546" t="s">
        <v>177</v>
      </c>
      <c r="B405" s="216"/>
      <c r="C405" s="79">
        <f t="shared" si="10"/>
        <v>0</v>
      </c>
      <c r="D405" s="174">
        <f t="shared" si="9"/>
        <v>0</v>
      </c>
      <c r="E405" s="179"/>
      <c r="F405" s="179"/>
      <c r="G405" s="180"/>
    </row>
    <row r="406" spans="1:7">
      <c r="A406" s="546" t="s">
        <v>178</v>
      </c>
      <c r="B406" s="216"/>
      <c r="C406" s="79">
        <f t="shared" si="10"/>
        <v>0</v>
      </c>
      <c r="D406" s="174">
        <f t="shared" si="9"/>
        <v>0</v>
      </c>
      <c r="E406" s="179"/>
      <c r="F406" s="179"/>
      <c r="G406" s="180"/>
    </row>
    <row r="407" spans="1:7">
      <c r="A407" s="215" t="s">
        <v>179</v>
      </c>
      <c r="B407" s="216"/>
      <c r="C407" s="79">
        <f t="shared" si="10"/>
        <v>0</v>
      </c>
      <c r="D407" s="174">
        <f t="shared" si="9"/>
        <v>0</v>
      </c>
      <c r="E407" s="179"/>
      <c r="F407" s="179"/>
      <c r="G407" s="180"/>
    </row>
    <row r="408" spans="1:7">
      <c r="A408" s="215" t="s">
        <v>180</v>
      </c>
      <c r="B408" s="216"/>
      <c r="C408" s="79">
        <f t="shared" si="10"/>
        <v>0</v>
      </c>
      <c r="D408" s="174">
        <f t="shared" si="9"/>
        <v>0</v>
      </c>
      <c r="E408" s="179"/>
      <c r="F408" s="179"/>
      <c r="G408" s="180"/>
    </row>
    <row r="409" spans="1:7">
      <c r="A409" s="215" t="s">
        <v>181</v>
      </c>
      <c r="B409" s="216"/>
      <c r="C409" s="79">
        <f t="shared" si="10"/>
        <v>0</v>
      </c>
      <c r="D409" s="174">
        <f t="shared" si="9"/>
        <v>0</v>
      </c>
      <c r="E409" s="179"/>
      <c r="F409" s="179"/>
      <c r="G409" s="180"/>
    </row>
    <row r="410" spans="1:7">
      <c r="A410" s="215" t="s">
        <v>182</v>
      </c>
      <c r="B410" s="216"/>
      <c r="C410" s="79">
        <f t="shared" si="10"/>
        <v>0</v>
      </c>
      <c r="D410" s="174">
        <f t="shared" si="9"/>
        <v>0</v>
      </c>
      <c r="E410" s="179"/>
      <c r="F410" s="179"/>
      <c r="G410" s="180"/>
    </row>
    <row r="411" spans="1:7">
      <c r="A411" s="215" t="s">
        <v>183</v>
      </c>
      <c r="B411" s="216"/>
      <c r="C411" s="79">
        <f t="shared" si="10"/>
        <v>0</v>
      </c>
      <c r="D411" s="174">
        <f t="shared" si="9"/>
        <v>0</v>
      </c>
      <c r="E411" s="179"/>
      <c r="F411" s="179"/>
      <c r="G411" s="180"/>
    </row>
    <row r="412" spans="1:7">
      <c r="A412" s="215" t="s">
        <v>184</v>
      </c>
      <c r="B412" s="216"/>
      <c r="C412" s="79">
        <f t="shared" si="10"/>
        <v>0</v>
      </c>
      <c r="D412" s="174">
        <f t="shared" si="9"/>
        <v>0</v>
      </c>
      <c r="E412" s="179"/>
      <c r="F412" s="179"/>
      <c r="G412" s="180"/>
    </row>
    <row r="413" spans="1:7">
      <c r="A413" s="215" t="s">
        <v>185</v>
      </c>
      <c r="B413" s="216"/>
      <c r="C413" s="79">
        <f t="shared" si="10"/>
        <v>0</v>
      </c>
      <c r="D413" s="174">
        <f t="shared" si="9"/>
        <v>0</v>
      </c>
      <c r="E413" s="179"/>
      <c r="F413" s="179"/>
      <c r="G413" s="180"/>
    </row>
    <row r="414" spans="1:7">
      <c r="A414" s="215" t="s">
        <v>186</v>
      </c>
      <c r="B414" s="216"/>
      <c r="C414" s="79">
        <f t="shared" si="10"/>
        <v>0</v>
      </c>
      <c r="D414" s="174">
        <f t="shared" si="9"/>
        <v>0</v>
      </c>
      <c r="E414" s="179"/>
      <c r="F414" s="179"/>
      <c r="G414" s="180"/>
    </row>
    <row r="415" spans="1:7">
      <c r="A415" s="215" t="s">
        <v>187</v>
      </c>
      <c r="B415" s="216"/>
      <c r="C415" s="79">
        <f t="shared" si="10"/>
        <v>0</v>
      </c>
      <c r="D415" s="174">
        <f t="shared" si="9"/>
        <v>0</v>
      </c>
      <c r="E415" s="179"/>
      <c r="F415" s="179"/>
      <c r="G415" s="180"/>
    </row>
    <row r="416" spans="1:7">
      <c r="A416" s="215" t="s">
        <v>188</v>
      </c>
      <c r="B416" s="216"/>
      <c r="C416" s="79">
        <f t="shared" si="10"/>
        <v>0</v>
      </c>
      <c r="D416" s="174">
        <f t="shared" si="9"/>
        <v>0</v>
      </c>
      <c r="E416" s="179"/>
      <c r="F416" s="179"/>
      <c r="G416" s="180"/>
    </row>
    <row r="417" spans="1:7">
      <c r="A417" s="215" t="s">
        <v>189</v>
      </c>
      <c r="B417" s="216"/>
      <c r="C417" s="79">
        <f t="shared" si="10"/>
        <v>0</v>
      </c>
      <c r="D417" s="174">
        <f t="shared" si="9"/>
        <v>0</v>
      </c>
      <c r="E417" s="179"/>
      <c r="F417" s="179"/>
      <c r="G417" s="180"/>
    </row>
    <row r="418" spans="1:7">
      <c r="A418" s="215" t="s">
        <v>190</v>
      </c>
      <c r="B418" s="216"/>
      <c r="C418" s="79">
        <f t="shared" si="10"/>
        <v>0</v>
      </c>
      <c r="D418" s="174">
        <f t="shared" si="9"/>
        <v>0</v>
      </c>
      <c r="E418" s="179"/>
      <c r="F418" s="179"/>
      <c r="G418" s="180"/>
    </row>
    <row r="419" spans="1:7">
      <c r="A419" s="215" t="s">
        <v>191</v>
      </c>
      <c r="B419" s="216"/>
      <c r="C419" s="79">
        <f t="shared" si="10"/>
        <v>0</v>
      </c>
      <c r="D419" s="174">
        <f t="shared" si="9"/>
        <v>0</v>
      </c>
      <c r="E419" s="179"/>
      <c r="F419" s="179"/>
      <c r="G419" s="180"/>
    </row>
    <row r="420" spans="1:7">
      <c r="A420" s="215" t="s">
        <v>192</v>
      </c>
      <c r="B420" s="216"/>
      <c r="C420" s="79">
        <f t="shared" si="10"/>
        <v>0</v>
      </c>
      <c r="D420" s="174">
        <f t="shared" si="9"/>
        <v>0</v>
      </c>
      <c r="E420" s="179"/>
      <c r="F420" s="179"/>
      <c r="G420" s="180"/>
    </row>
    <row r="421" spans="1:7">
      <c r="A421" s="215" t="s">
        <v>193</v>
      </c>
      <c r="B421" s="216"/>
      <c r="C421" s="79">
        <f t="shared" si="10"/>
        <v>0</v>
      </c>
      <c r="D421" s="174">
        <f t="shared" si="9"/>
        <v>0</v>
      </c>
      <c r="E421" s="179"/>
      <c r="F421" s="179"/>
      <c r="G421" s="180"/>
    </row>
    <row r="422" spans="1:7">
      <c r="A422" s="215" t="s">
        <v>194</v>
      </c>
      <c r="B422" s="216"/>
      <c r="C422" s="79">
        <f t="shared" si="10"/>
        <v>0</v>
      </c>
      <c r="D422" s="174">
        <f t="shared" si="9"/>
        <v>0</v>
      </c>
      <c r="E422" s="179"/>
      <c r="F422" s="179"/>
      <c r="G422" s="180"/>
    </row>
    <row r="423" spans="1:7">
      <c r="A423" s="215" t="s">
        <v>195</v>
      </c>
      <c r="B423" s="216"/>
      <c r="C423" s="79">
        <f t="shared" si="10"/>
        <v>0</v>
      </c>
      <c r="D423" s="174">
        <f t="shared" si="9"/>
        <v>0</v>
      </c>
      <c r="E423" s="179"/>
      <c r="F423" s="179"/>
      <c r="G423" s="180"/>
    </row>
    <row r="424" spans="1:7">
      <c r="A424" s="215" t="s">
        <v>196</v>
      </c>
      <c r="B424" s="216"/>
      <c r="C424" s="79">
        <f t="shared" si="10"/>
        <v>0</v>
      </c>
      <c r="D424" s="174">
        <f t="shared" si="9"/>
        <v>0</v>
      </c>
      <c r="E424" s="179"/>
      <c r="F424" s="179"/>
      <c r="G424" s="180"/>
    </row>
    <row r="425" spans="1:7">
      <c r="A425" s="215" t="s">
        <v>197</v>
      </c>
      <c r="B425" s="216"/>
      <c r="C425" s="79">
        <f t="shared" si="10"/>
        <v>0</v>
      </c>
      <c r="D425" s="174">
        <f t="shared" si="9"/>
        <v>0</v>
      </c>
      <c r="E425" s="179"/>
      <c r="F425" s="179"/>
      <c r="G425" s="180"/>
    </row>
    <row r="426" spans="1:7">
      <c r="A426" s="215" t="s">
        <v>198</v>
      </c>
      <c r="B426" s="216"/>
      <c r="C426" s="79">
        <f t="shared" si="10"/>
        <v>0</v>
      </c>
      <c r="D426" s="174">
        <f t="shared" si="9"/>
        <v>0</v>
      </c>
      <c r="E426" s="179"/>
      <c r="F426" s="179"/>
      <c r="G426" s="180"/>
    </row>
    <row r="427" spans="1:7">
      <c r="A427" s="215" t="s">
        <v>199</v>
      </c>
      <c r="B427" s="216"/>
      <c r="C427" s="79">
        <f t="shared" si="10"/>
        <v>0</v>
      </c>
      <c r="D427" s="174">
        <f t="shared" si="9"/>
        <v>0</v>
      </c>
      <c r="E427" s="179"/>
      <c r="F427" s="179"/>
      <c r="G427" s="180"/>
    </row>
    <row r="428" spans="1:7">
      <c r="A428" s="215" t="s">
        <v>200</v>
      </c>
      <c r="B428" s="216"/>
      <c r="C428" s="79">
        <f t="shared" si="10"/>
        <v>0</v>
      </c>
      <c r="D428" s="174">
        <f t="shared" si="9"/>
        <v>0</v>
      </c>
      <c r="E428" s="179"/>
      <c r="F428" s="179"/>
      <c r="G428" s="180"/>
    </row>
    <row r="429" spans="1:7">
      <c r="A429" s="215" t="s">
        <v>201</v>
      </c>
      <c r="B429" s="216"/>
      <c r="C429" s="79">
        <f t="shared" si="10"/>
        <v>0</v>
      </c>
      <c r="D429" s="174">
        <f t="shared" si="9"/>
        <v>0</v>
      </c>
      <c r="E429" s="179"/>
      <c r="F429" s="179"/>
      <c r="G429" s="180"/>
    </row>
    <row r="430" spans="1:7">
      <c r="A430" s="215" t="s">
        <v>202</v>
      </c>
      <c r="B430" s="216"/>
      <c r="C430" s="79">
        <f t="shared" si="10"/>
        <v>0</v>
      </c>
      <c r="D430" s="174">
        <f t="shared" si="9"/>
        <v>0</v>
      </c>
      <c r="E430" s="179"/>
      <c r="F430" s="179"/>
      <c r="G430" s="180"/>
    </row>
    <row r="431" spans="1:7">
      <c r="A431" s="215" t="s">
        <v>203</v>
      </c>
      <c r="B431" s="216"/>
      <c r="C431" s="79">
        <f t="shared" si="10"/>
        <v>0</v>
      </c>
      <c r="D431" s="174">
        <f t="shared" si="9"/>
        <v>0</v>
      </c>
      <c r="E431" s="179"/>
      <c r="F431" s="179"/>
      <c r="G431" s="180"/>
    </row>
    <row r="432" spans="1:7">
      <c r="A432" s="215" t="s">
        <v>204</v>
      </c>
      <c r="B432" s="216"/>
      <c r="C432" s="79">
        <f t="shared" si="10"/>
        <v>0</v>
      </c>
      <c r="D432" s="174">
        <f t="shared" si="9"/>
        <v>0</v>
      </c>
      <c r="E432" s="179"/>
      <c r="F432" s="179"/>
      <c r="G432" s="180"/>
    </row>
    <row r="433" spans="1:7">
      <c r="A433" s="215" t="s">
        <v>205</v>
      </c>
      <c r="B433" s="216"/>
      <c r="C433" s="79">
        <f t="shared" si="10"/>
        <v>0</v>
      </c>
      <c r="D433" s="174">
        <f t="shared" si="9"/>
        <v>0</v>
      </c>
      <c r="E433" s="179"/>
      <c r="F433" s="179"/>
      <c r="G433" s="180"/>
    </row>
    <row r="434" spans="1:7">
      <c r="A434" s="215" t="s">
        <v>206</v>
      </c>
      <c r="B434" s="216"/>
      <c r="C434" s="79">
        <f t="shared" si="10"/>
        <v>0</v>
      </c>
      <c r="D434" s="174">
        <f t="shared" si="9"/>
        <v>0</v>
      </c>
      <c r="E434" s="179"/>
      <c r="F434" s="179"/>
      <c r="G434" s="180"/>
    </row>
    <row r="435" spans="1:7">
      <c r="A435" s="215" t="s">
        <v>207</v>
      </c>
      <c r="B435" s="216"/>
      <c r="C435" s="79">
        <f t="shared" si="10"/>
        <v>0</v>
      </c>
      <c r="D435" s="174">
        <f t="shared" si="9"/>
        <v>0</v>
      </c>
      <c r="E435" s="179"/>
      <c r="F435" s="179"/>
      <c r="G435" s="180"/>
    </row>
    <row r="436" spans="1:7">
      <c r="A436" s="215" t="s">
        <v>208</v>
      </c>
      <c r="B436" s="216"/>
      <c r="C436" s="79">
        <f t="shared" si="10"/>
        <v>0</v>
      </c>
      <c r="D436" s="174">
        <f t="shared" si="9"/>
        <v>0</v>
      </c>
      <c r="E436" s="179"/>
      <c r="F436" s="179"/>
      <c r="G436" s="180"/>
    </row>
    <row r="437" spans="1:7">
      <c r="A437" s="215" t="s">
        <v>209</v>
      </c>
      <c r="B437" s="216"/>
      <c r="C437" s="79">
        <f t="shared" si="10"/>
        <v>0</v>
      </c>
      <c r="D437" s="174">
        <f t="shared" si="9"/>
        <v>0</v>
      </c>
      <c r="E437" s="179"/>
      <c r="F437" s="179"/>
      <c r="G437" s="180"/>
    </row>
    <row r="438" spans="1:7">
      <c r="A438" s="215" t="s">
        <v>210</v>
      </c>
      <c r="B438" s="216"/>
      <c r="C438" s="79">
        <f t="shared" si="10"/>
        <v>0</v>
      </c>
      <c r="D438" s="174">
        <f t="shared" si="9"/>
        <v>0</v>
      </c>
      <c r="E438" s="179"/>
      <c r="F438" s="179"/>
      <c r="G438" s="180"/>
    </row>
    <row r="439" spans="1:7">
      <c r="A439" s="215" t="s">
        <v>211</v>
      </c>
      <c r="B439" s="216"/>
      <c r="C439" s="79">
        <f t="shared" si="10"/>
        <v>0</v>
      </c>
      <c r="D439" s="174">
        <f t="shared" si="9"/>
        <v>0</v>
      </c>
      <c r="E439" s="179"/>
      <c r="F439" s="179"/>
      <c r="G439" s="180"/>
    </row>
    <row r="440" spans="1:7">
      <c r="A440" s="215" t="s">
        <v>212</v>
      </c>
      <c r="B440" s="216"/>
      <c r="C440" s="79">
        <f t="shared" si="10"/>
        <v>0</v>
      </c>
      <c r="D440" s="174">
        <f t="shared" si="9"/>
        <v>0</v>
      </c>
      <c r="E440" s="179"/>
      <c r="F440" s="179"/>
      <c r="G440" s="180"/>
    </row>
    <row r="441" spans="1:7">
      <c r="A441" s="215" t="s">
        <v>213</v>
      </c>
      <c r="B441" s="216"/>
      <c r="C441" s="79">
        <f t="shared" si="10"/>
        <v>0</v>
      </c>
      <c r="D441" s="174">
        <f t="shared" si="9"/>
        <v>0</v>
      </c>
      <c r="E441" s="179"/>
      <c r="F441" s="179"/>
      <c r="G441" s="180"/>
    </row>
    <row r="442" spans="1:7">
      <c r="A442" s="215" t="s">
        <v>214</v>
      </c>
      <c r="B442" s="216"/>
      <c r="C442" s="79">
        <f t="shared" si="10"/>
        <v>0</v>
      </c>
      <c r="D442" s="174">
        <f t="shared" si="9"/>
        <v>0</v>
      </c>
      <c r="E442" s="179"/>
      <c r="F442" s="179"/>
      <c r="G442" s="180"/>
    </row>
    <row r="443" spans="1:7">
      <c r="A443" s="215" t="s">
        <v>215</v>
      </c>
      <c r="B443" s="216"/>
      <c r="C443" s="79">
        <f t="shared" si="10"/>
        <v>0</v>
      </c>
      <c r="D443" s="174">
        <f t="shared" si="9"/>
        <v>0</v>
      </c>
      <c r="E443" s="179"/>
      <c r="F443" s="179"/>
      <c r="G443" s="180"/>
    </row>
    <row r="444" spans="1:7">
      <c r="A444" s="215" t="s">
        <v>216</v>
      </c>
      <c r="B444" s="216"/>
      <c r="C444" s="79">
        <f t="shared" si="10"/>
        <v>0</v>
      </c>
      <c r="D444" s="174">
        <f t="shared" si="9"/>
        <v>0</v>
      </c>
      <c r="E444" s="179"/>
      <c r="F444" s="179"/>
      <c r="G444" s="180"/>
    </row>
    <row r="445" spans="1:7">
      <c r="A445" s="215" t="s">
        <v>217</v>
      </c>
      <c r="B445" s="216"/>
      <c r="C445" s="79">
        <f t="shared" si="10"/>
        <v>0</v>
      </c>
      <c r="D445" s="174">
        <f t="shared" si="9"/>
        <v>0</v>
      </c>
      <c r="E445" s="179"/>
      <c r="F445" s="179"/>
      <c r="G445" s="180"/>
    </row>
    <row r="446" spans="1:7">
      <c r="A446" s="215" t="s">
        <v>218</v>
      </c>
      <c r="B446" s="216"/>
      <c r="C446" s="79">
        <f t="shared" si="10"/>
        <v>0</v>
      </c>
      <c r="D446" s="174">
        <f t="shared" si="9"/>
        <v>0</v>
      </c>
      <c r="E446" s="179"/>
      <c r="F446" s="179"/>
      <c r="G446" s="180"/>
    </row>
    <row r="447" spans="1:7">
      <c r="A447" s="215" t="s">
        <v>219</v>
      </c>
      <c r="B447" s="216"/>
      <c r="C447" s="79">
        <f t="shared" si="10"/>
        <v>0</v>
      </c>
      <c r="D447" s="174">
        <f t="shared" si="9"/>
        <v>0</v>
      </c>
      <c r="E447" s="179"/>
      <c r="F447" s="179"/>
      <c r="G447" s="180"/>
    </row>
    <row r="448" spans="1:7">
      <c r="A448" s="215" t="s">
        <v>220</v>
      </c>
      <c r="B448" s="216"/>
      <c r="C448" s="79">
        <f t="shared" si="10"/>
        <v>0</v>
      </c>
      <c r="D448" s="174">
        <f t="shared" si="9"/>
        <v>0</v>
      </c>
      <c r="E448" s="179"/>
      <c r="F448" s="179"/>
      <c r="G448" s="180"/>
    </row>
    <row r="449" spans="1:7">
      <c r="A449" s="215" t="s">
        <v>221</v>
      </c>
      <c r="B449" s="216"/>
      <c r="C449" s="79">
        <f t="shared" si="10"/>
        <v>0</v>
      </c>
      <c r="D449" s="174">
        <f t="shared" si="9"/>
        <v>0</v>
      </c>
      <c r="E449" s="179"/>
      <c r="F449" s="179"/>
      <c r="G449" s="180"/>
    </row>
    <row r="450" ht="15.75" spans="1:7">
      <c r="A450" s="217" t="s">
        <v>221</v>
      </c>
      <c r="B450" s="218"/>
      <c r="C450" s="79">
        <f t="shared" si="10"/>
        <v>0</v>
      </c>
      <c r="D450" s="184"/>
      <c r="E450" s="184"/>
      <c r="F450" s="184"/>
      <c r="G450" s="185"/>
    </row>
    <row r="451" ht="15.75" spans="1:7">
      <c r="A451" s="186"/>
      <c r="B451" s="219"/>
      <c r="C451" s="79">
        <f t="shared" si="10"/>
        <v>0</v>
      </c>
      <c r="D451" s="220"/>
      <c r="E451" s="221"/>
      <c r="F451" s="221"/>
      <c r="G451" s="222"/>
    </row>
    <row r="452" ht="53.25" customHeight="1" spans="1:7">
      <c r="A452" s="191" t="s">
        <v>233</v>
      </c>
      <c r="B452" s="192"/>
      <c r="C452" s="79">
        <f t="shared" si="10"/>
        <v>0</v>
      </c>
      <c r="D452" s="193"/>
      <c r="E452" s="194"/>
      <c r="F452" s="195"/>
      <c r="G452" s="196"/>
    </row>
    <row r="453" ht="51.75" customHeight="1" spans="1:7">
      <c r="A453" s="197" t="s">
        <v>224</v>
      </c>
      <c r="B453" s="198"/>
      <c r="D453" s="199"/>
      <c r="E453" s="200"/>
      <c r="F453" s="200"/>
      <c r="G453" s="201"/>
    </row>
    <row r="454" ht="77.25" customHeight="1" spans="1:7">
      <c r="A454" s="202" t="s">
        <v>225</v>
      </c>
      <c r="B454" s="203"/>
      <c r="D454" s="184"/>
      <c r="E454" s="183">
        <f>0.6*E452</f>
        <v>0</v>
      </c>
      <c r="F454" s="183">
        <f>0.6*F452</f>
        <v>0</v>
      </c>
      <c r="G454" s="204"/>
    </row>
    <row r="455" ht="15.75"/>
    <row r="456" ht="51.75" spans="1:2">
      <c r="A456" s="205" t="s">
        <v>224</v>
      </c>
      <c r="B456" s="166">
        <f>B453</f>
        <v>0</v>
      </c>
    </row>
    <row r="457" spans="1:2">
      <c r="A457" s="542" t="s">
        <v>226</v>
      </c>
      <c r="B457" s="207" t="e">
        <f>AVERAGE(B405:B444)</f>
        <v>#DIV/0!</v>
      </c>
    </row>
    <row r="458" spans="1:2">
      <c r="A458" s="543" t="s">
        <v>227</v>
      </c>
      <c r="B458" s="209" t="e">
        <f>AVERAGE(B410:B439)</f>
        <v>#DIV/0!</v>
      </c>
    </row>
    <row r="459" ht="15.75" spans="1:2">
      <c r="A459" s="544" t="s">
        <v>228</v>
      </c>
      <c r="B459" s="211" t="e">
        <f>AVERAGE(B416:B434)</f>
        <v>#DIV/0!</v>
      </c>
    </row>
  </sheetData>
  <mergeCells count="14">
    <mergeCell ref="B2:D2"/>
    <mergeCell ref="B69:D69"/>
    <mergeCell ref="B134:D134"/>
    <mergeCell ref="B200:D200"/>
    <mergeCell ref="B266:D266"/>
    <mergeCell ref="B331:D331"/>
    <mergeCell ref="B396:D396"/>
    <mergeCell ref="A2:A4"/>
    <mergeCell ref="A69:A71"/>
    <mergeCell ref="A134:A136"/>
    <mergeCell ref="A200:A202"/>
    <mergeCell ref="A266:A268"/>
    <mergeCell ref="A331:A333"/>
    <mergeCell ref="A396:A398"/>
  </mergeCells>
  <pageMargins left="0.7" right="0.7" top="0.75" bottom="0.75" header="0.3" footer="0.3"/>
  <pageSetup paperSize="9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Лист19">
    <tabColor rgb="FF92D050"/>
  </sheetPr>
  <dimension ref="A1:G458"/>
  <sheetViews>
    <sheetView topLeftCell="A478" workbookViewId="0">
      <selection activeCell="E418" sqref="E418:E419"/>
    </sheetView>
  </sheetViews>
  <sheetFormatPr defaultColWidth="9.18095238095238" defaultRowHeight="15" outlineLevelCol="6"/>
  <cols>
    <col min="1" max="1" width="13" style="152" customWidth="1"/>
    <col min="2" max="2" width="9.18095238095238" style="152"/>
    <col min="4" max="4" width="9.18095238095238" style="152"/>
    <col min="5" max="6" width="9.45714285714286" style="152" customWidth="1"/>
    <col min="7" max="16384" width="9.18095238095238" style="152"/>
  </cols>
  <sheetData>
    <row r="1" ht="15.75" spans="5:6">
      <c r="E1" s="153">
        <v>0.1</v>
      </c>
      <c r="F1" s="154">
        <v>0.4</v>
      </c>
    </row>
    <row r="2" ht="23.25" customHeight="1" spans="1:7">
      <c r="A2" s="155" t="s">
        <v>165</v>
      </c>
      <c r="B2" s="156" t="s">
        <v>166</v>
      </c>
      <c r="C2" s="157"/>
      <c r="D2" s="158"/>
      <c r="E2" s="159">
        <f>(1-E57)^(1/3)-1</f>
        <v>-0.0279957890837351</v>
      </c>
      <c r="F2" s="160">
        <f>(1-F57)^(1/3)-1</f>
        <v>-0.0279957890837351</v>
      </c>
      <c r="G2" s="161"/>
    </row>
    <row r="3" ht="77.25" spans="1:7">
      <c r="A3" s="162"/>
      <c r="B3" s="130" t="s">
        <v>167</v>
      </c>
      <c r="C3" s="72"/>
      <c r="D3" s="130" t="s">
        <v>168</v>
      </c>
      <c r="E3" s="130" t="s">
        <v>169</v>
      </c>
      <c r="F3" s="130" t="s">
        <v>169</v>
      </c>
      <c r="G3" s="130"/>
    </row>
    <row r="4" ht="26.25" spans="1:7">
      <c r="A4" s="163"/>
      <c r="B4" s="164" t="s">
        <v>170</v>
      </c>
      <c r="C4" s="72"/>
      <c r="D4" s="164" t="s">
        <v>171</v>
      </c>
      <c r="E4" s="538" t="s">
        <v>401</v>
      </c>
      <c r="F4" s="539" t="s">
        <v>402</v>
      </c>
      <c r="G4" s="166"/>
    </row>
    <row r="5" ht="15.75" spans="1:7">
      <c r="A5" s="167">
        <v>1</v>
      </c>
      <c r="B5" s="168">
        <v>2</v>
      </c>
      <c r="C5" s="76"/>
      <c r="D5" s="169">
        <v>3</v>
      </c>
      <c r="E5" s="170">
        <v>4</v>
      </c>
      <c r="F5" s="171">
        <v>5</v>
      </c>
      <c r="G5" s="170"/>
    </row>
    <row r="6" spans="1:7">
      <c r="A6" s="540" t="s">
        <v>172</v>
      </c>
      <c r="B6" s="173">
        <v>6.5</v>
      </c>
      <c r="C6" s="79">
        <v>0</v>
      </c>
      <c r="D6" s="174">
        <v>0</v>
      </c>
      <c r="E6" s="175">
        <v>0</v>
      </c>
      <c r="F6" s="175">
        <v>0</v>
      </c>
      <c r="G6" s="176">
        <v>0</v>
      </c>
    </row>
    <row r="7" spans="1:7">
      <c r="A7" s="541" t="s">
        <v>173</v>
      </c>
      <c r="B7" s="178">
        <v>10.6</v>
      </c>
      <c r="C7" s="79">
        <f>B6</f>
        <v>6.5</v>
      </c>
      <c r="D7" s="174">
        <v>0</v>
      </c>
      <c r="E7" s="179">
        <v>0</v>
      </c>
      <c r="F7" s="179">
        <v>0</v>
      </c>
      <c r="G7" s="180">
        <v>0</v>
      </c>
    </row>
    <row r="8" spans="1:7">
      <c r="A8" s="541" t="s">
        <v>174</v>
      </c>
      <c r="B8" s="178">
        <v>12.9</v>
      </c>
      <c r="C8" s="79">
        <f t="shared" ref="C8:C56" si="0">B7</f>
        <v>10.6</v>
      </c>
      <c r="D8" s="174">
        <v>0</v>
      </c>
      <c r="E8" s="179">
        <v>0</v>
      </c>
      <c r="F8" s="179">
        <v>0</v>
      </c>
      <c r="G8" s="180">
        <v>0</v>
      </c>
    </row>
    <row r="9" spans="1:7">
      <c r="A9" s="541" t="s">
        <v>175</v>
      </c>
      <c r="B9" s="178">
        <v>14.6</v>
      </c>
      <c r="C9" s="79">
        <f t="shared" si="0"/>
        <v>12.9</v>
      </c>
      <c r="D9" s="174">
        <v>0</v>
      </c>
      <c r="E9" s="179">
        <v>0</v>
      </c>
      <c r="F9" s="179">
        <v>0</v>
      </c>
      <c r="G9" s="180">
        <v>0</v>
      </c>
    </row>
    <row r="10" spans="1:7">
      <c r="A10" s="541" t="s">
        <v>176</v>
      </c>
      <c r="B10" s="178">
        <v>16.4</v>
      </c>
      <c r="C10" s="79">
        <f t="shared" si="0"/>
        <v>14.6</v>
      </c>
      <c r="D10" s="174">
        <v>0</v>
      </c>
      <c r="E10" s="179">
        <v>0</v>
      </c>
      <c r="F10" s="179">
        <v>0</v>
      </c>
      <c r="G10" s="180">
        <v>0</v>
      </c>
    </row>
    <row r="11" spans="1:7">
      <c r="A11" s="541" t="s">
        <v>177</v>
      </c>
      <c r="B11" s="178">
        <v>18.3</v>
      </c>
      <c r="C11" s="79">
        <f t="shared" si="0"/>
        <v>16.4</v>
      </c>
      <c r="D11" s="174">
        <v>0</v>
      </c>
      <c r="E11" s="179">
        <v>0</v>
      </c>
      <c r="F11" s="179">
        <v>0</v>
      </c>
      <c r="G11" s="180">
        <v>0</v>
      </c>
    </row>
    <row r="12" spans="1:7">
      <c r="A12" s="541" t="s">
        <v>178</v>
      </c>
      <c r="B12" s="178">
        <v>19.8</v>
      </c>
      <c r="C12" s="79">
        <f t="shared" si="0"/>
        <v>18.3</v>
      </c>
      <c r="D12" s="174">
        <v>0</v>
      </c>
      <c r="E12" s="179">
        <v>0</v>
      </c>
      <c r="F12" s="179">
        <v>0</v>
      </c>
      <c r="G12" s="180">
        <v>0</v>
      </c>
    </row>
    <row r="13" spans="1:7">
      <c r="A13" s="177" t="s">
        <v>179</v>
      </c>
      <c r="B13" s="178">
        <v>21.2</v>
      </c>
      <c r="C13" s="79">
        <f t="shared" si="0"/>
        <v>19.8</v>
      </c>
      <c r="D13" s="174">
        <v>0</v>
      </c>
      <c r="E13" s="179">
        <v>0</v>
      </c>
      <c r="F13" s="179">
        <v>0</v>
      </c>
      <c r="G13" s="180">
        <v>0</v>
      </c>
    </row>
    <row r="14" spans="1:7">
      <c r="A14" s="177" t="s">
        <v>180</v>
      </c>
      <c r="B14" s="178">
        <v>22.8</v>
      </c>
      <c r="C14" s="79">
        <f t="shared" si="0"/>
        <v>21.2</v>
      </c>
      <c r="D14" s="174">
        <v>0</v>
      </c>
      <c r="E14" s="179">
        <v>0</v>
      </c>
      <c r="F14" s="179">
        <v>0</v>
      </c>
      <c r="G14" s="180">
        <v>0</v>
      </c>
    </row>
    <row r="15" spans="1:7">
      <c r="A15" s="177" t="s">
        <v>181</v>
      </c>
      <c r="B15" s="178">
        <v>23.9</v>
      </c>
      <c r="C15" s="79">
        <f t="shared" si="0"/>
        <v>22.8</v>
      </c>
      <c r="D15" s="174">
        <v>0</v>
      </c>
      <c r="E15" s="179">
        <v>0</v>
      </c>
      <c r="F15" s="179">
        <v>0</v>
      </c>
      <c r="G15" s="180">
        <v>0</v>
      </c>
    </row>
    <row r="16" spans="1:7">
      <c r="A16" s="177" t="s">
        <v>182</v>
      </c>
      <c r="B16" s="178">
        <v>25.5</v>
      </c>
      <c r="C16" s="79">
        <f t="shared" si="0"/>
        <v>23.9</v>
      </c>
      <c r="D16" s="174">
        <v>0</v>
      </c>
      <c r="E16" s="179">
        <v>0</v>
      </c>
      <c r="F16" s="179">
        <v>0</v>
      </c>
      <c r="G16" s="180">
        <v>0</v>
      </c>
    </row>
    <row r="17" spans="1:7">
      <c r="A17" s="177" t="s">
        <v>183</v>
      </c>
      <c r="B17" s="178">
        <v>27</v>
      </c>
      <c r="C17" s="79">
        <f t="shared" si="0"/>
        <v>25.5</v>
      </c>
      <c r="D17" s="174">
        <v>0</v>
      </c>
      <c r="E17" s="179">
        <v>0</v>
      </c>
      <c r="F17" s="179">
        <v>0</v>
      </c>
      <c r="G17" s="180">
        <v>0.0011851851851852</v>
      </c>
    </row>
    <row r="18" spans="1:7">
      <c r="A18" s="177" t="s">
        <v>184</v>
      </c>
      <c r="B18" s="178">
        <v>28.1</v>
      </c>
      <c r="C18" s="79">
        <f t="shared" si="0"/>
        <v>27</v>
      </c>
      <c r="D18" s="174">
        <v>0.00893238434163731</v>
      </c>
      <c r="E18" s="179"/>
      <c r="F18" s="179">
        <v>0.000893238434163731</v>
      </c>
      <c r="G18" s="180">
        <v>0.00505338078291817</v>
      </c>
    </row>
    <row r="19" spans="1:7">
      <c r="A19" s="177" t="s">
        <v>185</v>
      </c>
      <c r="B19" s="178">
        <v>29.2</v>
      </c>
      <c r="C19" s="79">
        <f t="shared" si="0"/>
        <v>28.1</v>
      </c>
      <c r="D19" s="174">
        <v>0.0462671232876714</v>
      </c>
      <c r="E19" s="179"/>
      <c r="F19" s="179">
        <v>0.00462671232876715</v>
      </c>
      <c r="G19" s="180">
        <v>0.00863013698630138</v>
      </c>
    </row>
    <row r="20" spans="1:7">
      <c r="A20" s="177" t="s">
        <v>186</v>
      </c>
      <c r="B20" s="178">
        <v>30.6</v>
      </c>
      <c r="C20" s="79">
        <f t="shared" si="0"/>
        <v>29.2</v>
      </c>
      <c r="D20" s="174">
        <v>0.089901960784314</v>
      </c>
      <c r="E20" s="179"/>
      <c r="F20" s="179">
        <v>0.0089901960784314</v>
      </c>
      <c r="G20" s="180">
        <v>0.0128104575163399</v>
      </c>
    </row>
    <row r="21" spans="1:7">
      <c r="A21" s="177" t="s">
        <v>187</v>
      </c>
      <c r="B21" s="178">
        <v>31.5</v>
      </c>
      <c r="C21" s="79">
        <f t="shared" si="0"/>
        <v>30.6</v>
      </c>
      <c r="D21" s="174">
        <v>0.115904761904762</v>
      </c>
      <c r="E21" s="179">
        <v>0.0115904761904762</v>
      </c>
      <c r="F21" s="179">
        <v>0.0115904761904762</v>
      </c>
      <c r="G21" s="180">
        <v>0.0153015873015873</v>
      </c>
    </row>
    <row r="22" spans="1:7">
      <c r="A22" s="177" t="s">
        <v>188</v>
      </c>
      <c r="B22" s="178">
        <v>32.4</v>
      </c>
      <c r="C22" s="79">
        <f t="shared" si="0"/>
        <v>31.5</v>
      </c>
      <c r="D22" s="174">
        <v>0.140462962962963</v>
      </c>
      <c r="E22" s="179">
        <v>0.0140462962962963</v>
      </c>
      <c r="F22" s="179">
        <v>0.0140462962962963</v>
      </c>
      <c r="G22" s="180">
        <v>0.0176543209876543</v>
      </c>
    </row>
    <row r="23" spans="1:7">
      <c r="A23" s="177" t="s">
        <v>189</v>
      </c>
      <c r="B23" s="178">
        <v>33.4</v>
      </c>
      <c r="C23" s="79">
        <f t="shared" si="0"/>
        <v>32.4</v>
      </c>
      <c r="D23" s="174">
        <v>0.166197604790419</v>
      </c>
      <c r="E23" s="179">
        <v>0.0166197604790419</v>
      </c>
      <c r="F23" s="179">
        <v>0.0166197604790419</v>
      </c>
      <c r="G23" s="180">
        <v>0.0201197604790419</v>
      </c>
    </row>
    <row r="24" spans="1:7">
      <c r="A24" s="177" t="s">
        <v>190</v>
      </c>
      <c r="B24" s="178">
        <v>34.5</v>
      </c>
      <c r="C24" s="79">
        <f t="shared" si="0"/>
        <v>33.4</v>
      </c>
      <c r="D24" s="174">
        <v>0.192782608695652</v>
      </c>
      <c r="E24" s="179">
        <v>0.0192782608695652</v>
      </c>
      <c r="F24" s="179">
        <v>0.0192782608695652</v>
      </c>
      <c r="G24" s="180">
        <v>0.0226666666666667</v>
      </c>
    </row>
    <row r="25" spans="1:7">
      <c r="A25" s="177" t="s">
        <v>191</v>
      </c>
      <c r="B25" s="178">
        <v>35.7</v>
      </c>
      <c r="C25" s="79">
        <f t="shared" si="0"/>
        <v>34.5</v>
      </c>
      <c r="D25" s="174">
        <v>0.219915966386555</v>
      </c>
      <c r="E25" s="179">
        <v>0.0219915966386555</v>
      </c>
      <c r="F25" s="179">
        <v>0.0219915966386555</v>
      </c>
      <c r="G25" s="180">
        <v>0.025266106442577</v>
      </c>
    </row>
    <row r="26" spans="1:7">
      <c r="A26" s="177" t="s">
        <v>192</v>
      </c>
      <c r="B26" s="178">
        <v>37</v>
      </c>
      <c r="C26" s="79">
        <f t="shared" si="0"/>
        <v>35.7</v>
      </c>
      <c r="D26" s="174">
        <v>0.247324324324325</v>
      </c>
      <c r="E26" s="179">
        <v>0.0247324324324324</v>
      </c>
      <c r="F26" s="179">
        <v>0.0247324324324324</v>
      </c>
      <c r="G26" s="180">
        <v>0.0278918918918919</v>
      </c>
    </row>
    <row r="27" spans="1:7">
      <c r="A27" s="177" t="s">
        <v>193</v>
      </c>
      <c r="B27" s="178">
        <v>38.2</v>
      </c>
      <c r="C27" s="79">
        <f t="shared" si="0"/>
        <v>37</v>
      </c>
      <c r="D27" s="174">
        <v>0.270968586387435</v>
      </c>
      <c r="E27" s="179">
        <v>0.0270968586387435</v>
      </c>
      <c r="F27" s="179">
        <v>0.0270968586387435</v>
      </c>
      <c r="G27" s="180">
        <v>0.0301570680628272</v>
      </c>
    </row>
    <row r="28" spans="1:7">
      <c r="A28" s="177" t="s">
        <v>194</v>
      </c>
      <c r="B28" s="178">
        <v>39.4</v>
      </c>
      <c r="C28" s="79">
        <f t="shared" si="0"/>
        <v>38.2</v>
      </c>
      <c r="D28" s="174">
        <v>0.293172588832487</v>
      </c>
      <c r="E28" s="179">
        <v>0.0293172588832488</v>
      </c>
      <c r="F28" s="179">
        <v>0.0293172588832488</v>
      </c>
      <c r="G28" s="180">
        <v>0.0322842639593909</v>
      </c>
    </row>
    <row r="29" spans="1:7">
      <c r="A29" s="177" t="s">
        <v>195</v>
      </c>
      <c r="B29" s="178">
        <v>40.9</v>
      </c>
      <c r="C29" s="79">
        <f t="shared" si="0"/>
        <v>39.4</v>
      </c>
      <c r="D29" s="174">
        <v>0.319095354523228</v>
      </c>
      <c r="E29" s="179">
        <v>0.0319095354523228</v>
      </c>
      <c r="F29" s="179">
        <v>0.0319095354523228</v>
      </c>
      <c r="G29" s="180">
        <v>0.0347677261613692</v>
      </c>
    </row>
    <row r="30" spans="1:7">
      <c r="A30" s="177" t="s">
        <v>196</v>
      </c>
      <c r="B30" s="178">
        <v>42.3</v>
      </c>
      <c r="C30" s="79">
        <f t="shared" si="0"/>
        <v>40.9</v>
      </c>
      <c r="D30" s="174">
        <v>0.341631205673759</v>
      </c>
      <c r="E30" s="179">
        <v>0.0341631205673759</v>
      </c>
      <c r="F30" s="179">
        <v>0.0341631205673759</v>
      </c>
      <c r="G30" s="180">
        <v>0.0369267139479906</v>
      </c>
    </row>
    <row r="31" spans="1:7">
      <c r="A31" s="177" t="s">
        <v>197</v>
      </c>
      <c r="B31" s="178">
        <v>43.5</v>
      </c>
      <c r="C31" s="79">
        <f t="shared" si="0"/>
        <v>42.3</v>
      </c>
      <c r="D31" s="174">
        <v>0.359793103448276</v>
      </c>
      <c r="E31" s="179">
        <v>0.0359793103448276</v>
      </c>
      <c r="F31" s="179">
        <v>0.0359793103448276</v>
      </c>
      <c r="G31" s="180">
        <v>0.0386666666666667</v>
      </c>
    </row>
    <row r="32" spans="1:7">
      <c r="A32" s="177" t="s">
        <v>198</v>
      </c>
      <c r="B32" s="178">
        <v>44.7</v>
      </c>
      <c r="C32" s="79">
        <f t="shared" si="0"/>
        <v>43.5</v>
      </c>
      <c r="D32" s="174">
        <v>0.376979865771812</v>
      </c>
      <c r="E32" s="179">
        <v>0.0376979865771812</v>
      </c>
      <c r="F32" s="179">
        <v>0.0376979865771812</v>
      </c>
      <c r="G32" s="180">
        <v>0.0418791946308726</v>
      </c>
    </row>
    <row r="33" spans="1:7">
      <c r="A33" s="177" t="s">
        <v>199</v>
      </c>
      <c r="B33" s="178">
        <v>46.2</v>
      </c>
      <c r="C33" s="79">
        <f t="shared" si="0"/>
        <v>44.7</v>
      </c>
      <c r="D33" s="174">
        <v>0.397207792207792</v>
      </c>
      <c r="E33" s="179">
        <v>0.0397207792207792</v>
      </c>
      <c r="F33" s="179">
        <v>0.0397207792207792</v>
      </c>
      <c r="G33" s="180">
        <v>0.0535064935064936</v>
      </c>
    </row>
    <row r="34" spans="1:7">
      <c r="A34" s="177" t="s">
        <v>200</v>
      </c>
      <c r="B34" s="178">
        <v>47.8</v>
      </c>
      <c r="C34" s="79">
        <f t="shared" si="0"/>
        <v>46.2</v>
      </c>
      <c r="D34" s="174">
        <v>0.417384937238494</v>
      </c>
      <c r="E34" s="179">
        <v>0.0504309623430963</v>
      </c>
      <c r="F34" s="179">
        <v>0.0504309623430963</v>
      </c>
      <c r="G34" s="180">
        <v>0.0651046025104603</v>
      </c>
    </row>
    <row r="35" spans="1:7">
      <c r="A35" s="177" t="s">
        <v>201</v>
      </c>
      <c r="B35" s="178">
        <v>49.3</v>
      </c>
      <c r="C35" s="79">
        <f t="shared" si="0"/>
        <v>47.8</v>
      </c>
      <c r="D35" s="174">
        <v>0.435111561866126</v>
      </c>
      <c r="E35" s="179">
        <v>0.0610669371196755</v>
      </c>
      <c r="F35" s="179">
        <v>0.0610669371196755</v>
      </c>
      <c r="G35" s="180">
        <v>0.0752941176470588</v>
      </c>
    </row>
    <row r="36" spans="1:7">
      <c r="A36" s="177" t="s">
        <v>202</v>
      </c>
      <c r="B36" s="178">
        <v>50.7</v>
      </c>
      <c r="C36" s="79">
        <f t="shared" si="0"/>
        <v>49.3</v>
      </c>
      <c r="D36" s="174">
        <v>0.450710059171598</v>
      </c>
      <c r="E36" s="179">
        <v>0.0704260355029587</v>
      </c>
      <c r="F36" s="179">
        <v>0.0704260355029587</v>
      </c>
      <c r="G36" s="180">
        <v>0.0842603550295859</v>
      </c>
    </row>
    <row r="37" spans="1:7">
      <c r="A37" s="177" t="s">
        <v>203</v>
      </c>
      <c r="B37" s="178">
        <v>52.3</v>
      </c>
      <c r="C37" s="79">
        <f t="shared" si="0"/>
        <v>50.7</v>
      </c>
      <c r="D37" s="174">
        <v>0.467514340344168</v>
      </c>
      <c r="E37" s="179">
        <v>0.080508604206501</v>
      </c>
      <c r="F37" s="179">
        <v>0.080508604206501</v>
      </c>
      <c r="G37" s="180">
        <v>0.0939196940726578</v>
      </c>
    </row>
    <row r="38" spans="1:7">
      <c r="A38" s="177" t="s">
        <v>204</v>
      </c>
      <c r="B38" s="178">
        <v>54.3</v>
      </c>
      <c r="C38" s="79">
        <f t="shared" si="0"/>
        <v>52.3</v>
      </c>
      <c r="D38" s="174">
        <v>0.487127071823205</v>
      </c>
      <c r="E38" s="179">
        <v>0.0922762430939227</v>
      </c>
      <c r="F38" s="179">
        <v>0.0922762430939227</v>
      </c>
      <c r="G38" s="180">
        <v>0.105193370165746</v>
      </c>
    </row>
    <row r="39" spans="1:7">
      <c r="A39" s="177" t="s">
        <v>205</v>
      </c>
      <c r="B39" s="178">
        <v>56.4</v>
      </c>
      <c r="C39" s="79">
        <f t="shared" si="0"/>
        <v>54.3</v>
      </c>
      <c r="D39" s="174">
        <v>0.506223404255319</v>
      </c>
      <c r="E39" s="179">
        <v>0.103734042553192</v>
      </c>
      <c r="F39" s="179">
        <v>0.103734042553192</v>
      </c>
      <c r="G39" s="180">
        <v>0.116170212765957</v>
      </c>
    </row>
    <row r="40" spans="1:7">
      <c r="A40" s="177" t="s">
        <v>206</v>
      </c>
      <c r="B40" s="178">
        <v>58.1</v>
      </c>
      <c r="C40" s="79">
        <f t="shared" si="0"/>
        <v>56.4</v>
      </c>
      <c r="D40" s="174">
        <v>0.520671256454389</v>
      </c>
      <c r="E40" s="179">
        <v>0.112402753872633</v>
      </c>
      <c r="F40" s="179">
        <v>0.112402753872633</v>
      </c>
      <c r="G40" s="180">
        <v>0.12447504302926</v>
      </c>
    </row>
    <row r="41" spans="1:7">
      <c r="A41" s="177" t="s">
        <v>207</v>
      </c>
      <c r="B41" s="178">
        <v>60</v>
      </c>
      <c r="C41" s="79">
        <f t="shared" si="0"/>
        <v>58.1</v>
      </c>
      <c r="D41" s="174">
        <v>0.53585</v>
      </c>
      <c r="E41" s="179">
        <v>0.12151</v>
      </c>
      <c r="F41" s="179">
        <v>0.12151</v>
      </c>
      <c r="G41" s="180">
        <v>0.1332</v>
      </c>
    </row>
    <row r="42" spans="1:7">
      <c r="A42" s="177" t="s">
        <v>208</v>
      </c>
      <c r="B42" s="178">
        <v>62.3</v>
      </c>
      <c r="C42" s="79">
        <f t="shared" si="0"/>
        <v>60</v>
      </c>
      <c r="D42" s="174">
        <v>0.552985553772071</v>
      </c>
      <c r="E42" s="179">
        <v>0.131791332263242</v>
      </c>
      <c r="F42" s="179">
        <v>0.131791332263242</v>
      </c>
      <c r="G42" s="180">
        <v>0.143049759229535</v>
      </c>
    </row>
    <row r="43" spans="1:7">
      <c r="A43" s="177" t="s">
        <v>209</v>
      </c>
      <c r="B43" s="178">
        <v>64.6</v>
      </c>
      <c r="C43" s="79">
        <f t="shared" si="0"/>
        <v>62.3</v>
      </c>
      <c r="D43" s="174">
        <v>0.56890092879257</v>
      </c>
      <c r="E43" s="179">
        <v>0.141340557275542</v>
      </c>
      <c r="F43" s="179">
        <v>0.141340557275542</v>
      </c>
      <c r="G43" s="180">
        <v>0.152198142414861</v>
      </c>
    </row>
    <row r="44" spans="1:7">
      <c r="A44" s="177" t="s">
        <v>210</v>
      </c>
      <c r="B44" s="178">
        <v>67.6</v>
      </c>
      <c r="C44" s="79">
        <f t="shared" si="0"/>
        <v>64.6</v>
      </c>
      <c r="D44" s="174">
        <v>0.588032544378698</v>
      </c>
      <c r="E44" s="179">
        <v>0.152819526627219</v>
      </c>
      <c r="F44" s="179">
        <v>0.152819526627219</v>
      </c>
      <c r="G44" s="180">
        <v>0.163195266272189</v>
      </c>
    </row>
    <row r="45" spans="1:7">
      <c r="A45" s="177" t="s">
        <v>211</v>
      </c>
      <c r="B45" s="178">
        <v>70.5</v>
      </c>
      <c r="C45" s="79">
        <f t="shared" si="0"/>
        <v>67.6</v>
      </c>
      <c r="D45" s="174">
        <v>0.604978723404256</v>
      </c>
      <c r="E45" s="179">
        <v>0.162987234042553</v>
      </c>
      <c r="F45" s="179">
        <v>0.162987234042553</v>
      </c>
      <c r="G45" s="180">
        <v>0.172936170212766</v>
      </c>
    </row>
    <row r="46" spans="1:7">
      <c r="A46" s="177" t="s">
        <v>212</v>
      </c>
      <c r="B46" s="178">
        <v>73.6</v>
      </c>
      <c r="C46" s="79">
        <f t="shared" si="0"/>
        <v>70.5</v>
      </c>
      <c r="D46" s="174">
        <v>0.621616847826087</v>
      </c>
      <c r="E46" s="179">
        <v>0.172970108695652</v>
      </c>
      <c r="F46" s="179">
        <v>0.172970108695652</v>
      </c>
      <c r="G46" s="180">
        <v>0.1825</v>
      </c>
    </row>
    <row r="47" spans="1:7">
      <c r="A47" s="177" t="s">
        <v>213</v>
      </c>
      <c r="B47" s="178">
        <v>77.2</v>
      </c>
      <c r="C47" s="79">
        <f t="shared" si="0"/>
        <v>73.6</v>
      </c>
      <c r="D47" s="174">
        <v>0.639261658031088</v>
      </c>
      <c r="E47" s="179">
        <v>0.183556994818653</v>
      </c>
      <c r="F47" s="179">
        <v>0.183556994818653</v>
      </c>
      <c r="G47" s="180">
        <v>0.192642487046632</v>
      </c>
    </row>
    <row r="48" spans="1:7">
      <c r="A48" s="177" t="s">
        <v>214</v>
      </c>
      <c r="B48" s="178">
        <v>81.5</v>
      </c>
      <c r="C48" s="79">
        <f t="shared" si="0"/>
        <v>77.2</v>
      </c>
      <c r="D48" s="174">
        <v>0.658294478527607</v>
      </c>
      <c r="E48" s="179">
        <v>0.194976687116564</v>
      </c>
      <c r="F48" s="179">
        <v>0.194976687116564</v>
      </c>
      <c r="G48" s="180">
        <v>0.20358282208589</v>
      </c>
    </row>
    <row r="49" spans="1:7">
      <c r="A49" s="177" t="s">
        <v>215</v>
      </c>
      <c r="B49" s="178">
        <v>87.9</v>
      </c>
      <c r="C49" s="79">
        <f t="shared" si="0"/>
        <v>81.5</v>
      </c>
      <c r="D49" s="174">
        <v>0.683174061433447</v>
      </c>
      <c r="E49" s="179">
        <v>0.209904436860068</v>
      </c>
      <c r="F49" s="179">
        <v>0.209904436860068</v>
      </c>
      <c r="G49" s="180">
        <v>0.217883959044369</v>
      </c>
    </row>
    <row r="50" spans="1:7">
      <c r="A50" s="177" t="s">
        <v>216</v>
      </c>
      <c r="B50" s="178">
        <v>96.4</v>
      </c>
      <c r="C50" s="79">
        <f t="shared" si="0"/>
        <v>87.9</v>
      </c>
      <c r="D50" s="174">
        <v>0.711109958506224</v>
      </c>
      <c r="E50" s="179">
        <v>0.226665975103735</v>
      </c>
      <c r="F50" s="179">
        <v>0.226665975103735</v>
      </c>
      <c r="G50" s="180">
        <v>0.233941908713693</v>
      </c>
    </row>
    <row r="51" spans="1:7">
      <c r="A51" s="177" t="s">
        <v>217</v>
      </c>
      <c r="B51" s="178">
        <v>107.9</v>
      </c>
      <c r="C51" s="79">
        <f t="shared" si="0"/>
        <v>96.4</v>
      </c>
      <c r="D51" s="174">
        <v>0.741899907321594</v>
      </c>
      <c r="E51" s="179">
        <v>0.245139944392956</v>
      </c>
      <c r="F51" s="179">
        <v>0.245139944392956</v>
      </c>
      <c r="G51" s="180">
        <v>0.251640407784986</v>
      </c>
    </row>
    <row r="52" spans="1:7">
      <c r="A52" s="177" t="s">
        <v>218</v>
      </c>
      <c r="B52" s="178">
        <v>124.1</v>
      </c>
      <c r="C52" s="79">
        <f t="shared" si="0"/>
        <v>107.9</v>
      </c>
      <c r="D52" s="174">
        <v>0.775592264302982</v>
      </c>
      <c r="E52" s="179">
        <v>0.265355358581789</v>
      </c>
      <c r="F52" s="179">
        <v>0.265355358581789</v>
      </c>
      <c r="G52" s="180">
        <v>0.271007252215955</v>
      </c>
    </row>
    <row r="53" spans="1:7">
      <c r="A53" s="177" t="s">
        <v>219</v>
      </c>
      <c r="B53" s="178">
        <v>150.5</v>
      </c>
      <c r="C53" s="79">
        <f t="shared" si="0"/>
        <v>124.1</v>
      </c>
      <c r="D53" s="174">
        <v>0.814956810631229</v>
      </c>
      <c r="E53" s="179">
        <v>0.288974086378738</v>
      </c>
      <c r="F53" s="179">
        <v>0.288974086378738</v>
      </c>
      <c r="G53" s="180">
        <v>0.293634551495017</v>
      </c>
    </row>
    <row r="54" spans="1:7">
      <c r="A54" s="177" t="s">
        <v>220</v>
      </c>
      <c r="B54" s="178">
        <v>195.9</v>
      </c>
      <c r="C54" s="79">
        <f t="shared" si="0"/>
        <v>150.5</v>
      </c>
      <c r="D54" s="174">
        <v>0.857840735068913</v>
      </c>
      <c r="E54" s="179">
        <v>0.314704441041348</v>
      </c>
      <c r="F54" s="179">
        <v>0.314704441041348</v>
      </c>
      <c r="G54" s="180">
        <v>0.318284839203675</v>
      </c>
    </row>
    <row r="55" spans="1:7">
      <c r="A55" s="177" t="s">
        <v>221</v>
      </c>
      <c r="B55" s="178">
        <v>281.8</v>
      </c>
      <c r="C55" s="79">
        <f t="shared" si="0"/>
        <v>195.9</v>
      </c>
      <c r="D55" s="174">
        <v>0.901174591909155</v>
      </c>
      <c r="E55" s="179">
        <v>0.340704755145493</v>
      </c>
      <c r="F55" s="179">
        <v>0.340704755145493</v>
      </c>
      <c r="G55" s="180">
        <v>0.34319375443577</v>
      </c>
    </row>
    <row r="56" ht="15.75" spans="1:7">
      <c r="A56" s="181" t="s">
        <v>221</v>
      </c>
      <c r="B56" s="182" t="s">
        <v>420</v>
      </c>
      <c r="C56" s="79">
        <f t="shared" si="0"/>
        <v>281.8</v>
      </c>
      <c r="D56" s="183"/>
      <c r="E56" s="184"/>
      <c r="F56" s="184"/>
      <c r="G56" s="185"/>
    </row>
    <row r="57" ht="15.75" spans="1:7">
      <c r="A57" s="186"/>
      <c r="B57" s="187"/>
      <c r="C57" s="82"/>
      <c r="D57" s="188"/>
      <c r="E57" s="189">
        <v>0.0816580167293568</v>
      </c>
      <c r="F57" s="189">
        <v>0.0816580167293568</v>
      </c>
      <c r="G57" s="190">
        <v>0.0872415267310368</v>
      </c>
    </row>
    <row r="58" ht="51" customHeight="1" spans="1:7">
      <c r="A58" s="191" t="s">
        <v>233</v>
      </c>
      <c r="B58" s="192">
        <v>55.6</v>
      </c>
      <c r="C58" s="82"/>
      <c r="D58" s="193"/>
      <c r="E58" s="194">
        <v>46.415</v>
      </c>
      <c r="F58" s="195">
        <v>46.415</v>
      </c>
      <c r="G58" s="196">
        <v>44.4666666666667</v>
      </c>
    </row>
    <row r="59" ht="51.75" customHeight="1" spans="1:7">
      <c r="A59" s="197" t="s">
        <v>224</v>
      </c>
      <c r="B59" s="198">
        <v>33.5</v>
      </c>
      <c r="C59" s="82"/>
      <c r="D59" s="199"/>
      <c r="E59" s="200"/>
      <c r="F59" s="200"/>
      <c r="G59" s="201"/>
    </row>
    <row r="60" ht="75.75" customHeight="1" spans="1:7">
      <c r="A60" s="202" t="s">
        <v>225</v>
      </c>
      <c r="B60" s="203">
        <v>20.1</v>
      </c>
      <c r="C60" s="78"/>
      <c r="D60" s="184"/>
      <c r="E60" s="183">
        <v>27.849</v>
      </c>
      <c r="F60" s="183">
        <v>27.849</v>
      </c>
      <c r="G60" s="204">
        <v>26.68</v>
      </c>
    </row>
    <row r="61" ht="15.75"/>
    <row r="62" ht="53.25" customHeight="1" spans="1:2">
      <c r="A62" s="205" t="s">
        <v>224</v>
      </c>
      <c r="B62" s="166">
        <f>B59</f>
        <v>33.5</v>
      </c>
    </row>
    <row r="63" spans="1:3">
      <c r="A63" s="542" t="s">
        <v>226</v>
      </c>
      <c r="B63" s="207">
        <f>AVERAGE(B11:B50)</f>
        <v>46.415</v>
      </c>
      <c r="C63" s="95"/>
    </row>
    <row r="64" spans="1:3">
      <c r="A64" s="543" t="s">
        <v>227</v>
      </c>
      <c r="B64" s="209">
        <f>AVERAGE(B16:B45)</f>
        <v>44.4666666666667</v>
      </c>
      <c r="C64" s="96"/>
    </row>
    <row r="65" ht="15.75" spans="1:3">
      <c r="A65" s="544" t="s">
        <v>228</v>
      </c>
      <c r="B65" s="211">
        <f>AVERAGE(B22:B40)</f>
        <v>44.0578947368421</v>
      </c>
      <c r="C65" s="96"/>
    </row>
    <row r="68" ht="15.75"/>
    <row r="69" ht="37.5" customHeight="1" spans="1:7">
      <c r="A69" s="155" t="s">
        <v>165</v>
      </c>
      <c r="B69" s="156" t="s">
        <v>229</v>
      </c>
      <c r="C69" s="157"/>
      <c r="D69" s="158"/>
      <c r="E69" s="159">
        <f>(1-E124)^(1/3)-1</f>
        <v>-0.0242940179334361</v>
      </c>
      <c r="F69" s="160">
        <f>(1-F124)^(1/3)-1</f>
        <v>-0.0242940179334361</v>
      </c>
      <c r="G69" s="161"/>
    </row>
    <row r="70" ht="77.25" spans="1:7">
      <c r="A70" s="162"/>
      <c r="B70" s="130" t="s">
        <v>167</v>
      </c>
      <c r="C70" s="83"/>
      <c r="D70" s="130" t="s">
        <v>168</v>
      </c>
      <c r="E70" s="130" t="s">
        <v>169</v>
      </c>
      <c r="F70" s="130" t="s">
        <v>169</v>
      </c>
      <c r="G70" s="130"/>
    </row>
    <row r="71" ht="26.25" spans="1:7">
      <c r="A71" s="163"/>
      <c r="B71" s="164" t="s">
        <v>230</v>
      </c>
      <c r="C71" s="83"/>
      <c r="D71" s="164" t="s">
        <v>171</v>
      </c>
      <c r="E71" s="538" t="s">
        <v>401</v>
      </c>
      <c r="F71" s="539" t="s">
        <v>402</v>
      </c>
      <c r="G71" s="166"/>
    </row>
    <row r="72" ht="15.75" spans="1:7">
      <c r="A72" s="167">
        <v>1</v>
      </c>
      <c r="B72" s="212">
        <v>2</v>
      </c>
      <c r="C72" s="76"/>
      <c r="D72" s="131">
        <v>3</v>
      </c>
      <c r="E72" s="169">
        <v>4</v>
      </c>
      <c r="F72" s="131">
        <v>5</v>
      </c>
      <c r="G72" s="169"/>
    </row>
    <row r="73" spans="1:7">
      <c r="A73" s="545" t="s">
        <v>172</v>
      </c>
      <c r="B73" s="214">
        <v>26.8</v>
      </c>
      <c r="C73" s="102">
        <v>0</v>
      </c>
      <c r="D73" s="80">
        <v>0</v>
      </c>
      <c r="E73" s="175">
        <v>0</v>
      </c>
      <c r="F73" s="175">
        <v>0</v>
      </c>
      <c r="G73" s="176">
        <v>0</v>
      </c>
    </row>
    <row r="74" spans="1:7">
      <c r="A74" s="546" t="s">
        <v>173</v>
      </c>
      <c r="B74" s="216">
        <v>33.8</v>
      </c>
      <c r="C74" s="79">
        <f>B73</f>
        <v>26.8</v>
      </c>
      <c r="D74" s="80">
        <v>0</v>
      </c>
      <c r="E74" s="179">
        <v>0</v>
      </c>
      <c r="F74" s="179">
        <v>0</v>
      </c>
      <c r="G74" s="180">
        <v>0</v>
      </c>
    </row>
    <row r="75" spans="1:7">
      <c r="A75" s="546" t="s">
        <v>174</v>
      </c>
      <c r="B75" s="216">
        <v>38.8</v>
      </c>
      <c r="C75" s="79">
        <f t="shared" ref="C75:C123" si="1">B74</f>
        <v>33.8</v>
      </c>
      <c r="D75" s="80">
        <v>0</v>
      </c>
      <c r="E75" s="179">
        <v>0</v>
      </c>
      <c r="F75" s="179">
        <v>0</v>
      </c>
      <c r="G75" s="180">
        <v>0</v>
      </c>
    </row>
    <row r="76" spans="1:7">
      <c r="A76" s="546" t="s">
        <v>175</v>
      </c>
      <c r="B76" s="216">
        <v>42.4</v>
      </c>
      <c r="C76" s="79">
        <f t="shared" si="1"/>
        <v>38.8</v>
      </c>
      <c r="D76" s="80">
        <v>0</v>
      </c>
      <c r="E76" s="179">
        <v>0</v>
      </c>
      <c r="F76" s="179">
        <v>0</v>
      </c>
      <c r="G76" s="180">
        <v>0</v>
      </c>
    </row>
    <row r="77" spans="1:7">
      <c r="A77" s="546" t="s">
        <v>176</v>
      </c>
      <c r="B77" s="216">
        <v>44.8</v>
      </c>
      <c r="C77" s="79">
        <f t="shared" si="1"/>
        <v>42.4</v>
      </c>
      <c r="D77" s="80">
        <v>0</v>
      </c>
      <c r="E77" s="179">
        <v>0</v>
      </c>
      <c r="F77" s="179">
        <v>0</v>
      </c>
      <c r="G77" s="180">
        <v>0</v>
      </c>
    </row>
    <row r="78" spans="1:7">
      <c r="A78" s="546" t="s">
        <v>177</v>
      </c>
      <c r="B78" s="216">
        <v>47.4</v>
      </c>
      <c r="C78" s="79">
        <f t="shared" si="1"/>
        <v>44.8</v>
      </c>
      <c r="D78" s="80">
        <v>0</v>
      </c>
      <c r="E78" s="179">
        <v>0</v>
      </c>
      <c r="F78" s="179">
        <v>0</v>
      </c>
      <c r="G78" s="180">
        <v>0</v>
      </c>
    </row>
    <row r="79" spans="1:7">
      <c r="A79" s="546" t="s">
        <v>178</v>
      </c>
      <c r="B79" s="216">
        <v>49.6</v>
      </c>
      <c r="C79" s="79">
        <f t="shared" si="1"/>
        <v>47.4</v>
      </c>
      <c r="D79" s="80">
        <v>0</v>
      </c>
      <c r="E79" s="179">
        <v>0</v>
      </c>
      <c r="F79" s="179">
        <v>0</v>
      </c>
      <c r="G79" s="180">
        <v>0</v>
      </c>
    </row>
    <row r="80" spans="1:7">
      <c r="A80" s="215" t="s">
        <v>179</v>
      </c>
      <c r="B80" s="216">
        <v>52.2</v>
      </c>
      <c r="C80" s="79">
        <f t="shared" si="1"/>
        <v>49.6</v>
      </c>
      <c r="D80" s="80">
        <v>0.0104310344827587</v>
      </c>
      <c r="E80" s="179"/>
      <c r="F80" s="179">
        <v>0.00104310344827587</v>
      </c>
      <c r="G80" s="180">
        <v>0.00304597701149425</v>
      </c>
    </row>
    <row r="81" spans="1:7">
      <c r="A81" s="215" t="s">
        <v>180</v>
      </c>
      <c r="B81" s="216">
        <v>54.1</v>
      </c>
      <c r="C81" s="79">
        <f t="shared" si="1"/>
        <v>52.2</v>
      </c>
      <c r="D81" s="80">
        <v>0.0451848428835491</v>
      </c>
      <c r="E81" s="179"/>
      <c r="F81" s="179">
        <v>0.00451848428835491</v>
      </c>
      <c r="G81" s="180">
        <v>0.00645101663585951</v>
      </c>
    </row>
    <row r="82" spans="1:7">
      <c r="A82" s="215" t="s">
        <v>181</v>
      </c>
      <c r="B82" s="216">
        <v>56.1</v>
      </c>
      <c r="C82" s="79">
        <f t="shared" si="1"/>
        <v>54.1</v>
      </c>
      <c r="D82" s="80">
        <v>0.0792245989304814</v>
      </c>
      <c r="E82" s="179"/>
      <c r="F82" s="179">
        <v>0.00792245989304814</v>
      </c>
      <c r="G82" s="180">
        <v>0.00978609625668448</v>
      </c>
    </row>
    <row r="83" spans="1:7">
      <c r="A83" s="215" t="s">
        <v>182</v>
      </c>
      <c r="B83" s="216">
        <v>58.2</v>
      </c>
      <c r="C83" s="79">
        <f t="shared" si="1"/>
        <v>56.1</v>
      </c>
      <c r="D83" s="80">
        <v>0.112448453608248</v>
      </c>
      <c r="E83" s="179">
        <v>0.0112448453608248</v>
      </c>
      <c r="F83" s="179">
        <v>0.0112448453608248</v>
      </c>
      <c r="G83" s="180">
        <v>0.0130412371134021</v>
      </c>
    </row>
    <row r="84" spans="1:7">
      <c r="A84" s="215" t="s">
        <v>183</v>
      </c>
      <c r="B84" s="216">
        <v>60</v>
      </c>
      <c r="C84" s="79">
        <f t="shared" si="1"/>
        <v>58.2</v>
      </c>
      <c r="D84" s="80">
        <v>0.139075</v>
      </c>
      <c r="E84" s="179">
        <v>0.0139075</v>
      </c>
      <c r="F84" s="179">
        <v>0.0139075</v>
      </c>
      <c r="G84" s="180">
        <v>0.01565</v>
      </c>
    </row>
    <row r="85" spans="1:7">
      <c r="A85" s="215" t="s">
        <v>184</v>
      </c>
      <c r="B85" s="216">
        <v>61.6</v>
      </c>
      <c r="C85" s="79">
        <f t="shared" si="1"/>
        <v>60</v>
      </c>
      <c r="D85" s="80">
        <v>0.161436688311688</v>
      </c>
      <c r="E85" s="179">
        <v>0.0161436688311688</v>
      </c>
      <c r="F85" s="179">
        <v>0.0161436688311688</v>
      </c>
      <c r="G85" s="180">
        <v>0.0178409090909091</v>
      </c>
    </row>
    <row r="86" spans="1:7">
      <c r="A86" s="215" t="s">
        <v>185</v>
      </c>
      <c r="B86" s="216">
        <v>63.2</v>
      </c>
      <c r="C86" s="79">
        <f t="shared" si="1"/>
        <v>61.6</v>
      </c>
      <c r="D86" s="80">
        <v>0.182666139240506</v>
      </c>
      <c r="E86" s="179">
        <v>0.0182666139240506</v>
      </c>
      <c r="F86" s="179">
        <v>0.0182666139240506</v>
      </c>
      <c r="G86" s="180">
        <v>0.0199208860759494</v>
      </c>
    </row>
    <row r="87" spans="1:7">
      <c r="A87" s="215" t="s">
        <v>186</v>
      </c>
      <c r="B87" s="216">
        <v>65.4</v>
      </c>
      <c r="C87" s="79">
        <f t="shared" si="1"/>
        <v>63.2</v>
      </c>
      <c r="D87" s="80">
        <v>0.210160550458716</v>
      </c>
      <c r="E87" s="179">
        <v>0.0210160550458716</v>
      </c>
      <c r="F87" s="179">
        <v>0.0210160550458716</v>
      </c>
      <c r="G87" s="180">
        <v>0.0226146788990826</v>
      </c>
    </row>
    <row r="88" spans="1:7">
      <c r="A88" s="215" t="s">
        <v>187</v>
      </c>
      <c r="B88" s="216">
        <v>67.2</v>
      </c>
      <c r="C88" s="79">
        <f t="shared" si="1"/>
        <v>65.4</v>
      </c>
      <c r="D88" s="80">
        <v>0.231316964285714</v>
      </c>
      <c r="E88" s="179">
        <v>0.0231316964285714</v>
      </c>
      <c r="F88" s="179">
        <v>0.0231316964285714</v>
      </c>
      <c r="G88" s="180">
        <v>0.0246875</v>
      </c>
    </row>
    <row r="89" spans="1:7">
      <c r="A89" s="215" t="s">
        <v>188</v>
      </c>
      <c r="B89" s="216">
        <v>68.9</v>
      </c>
      <c r="C89" s="79">
        <f t="shared" si="1"/>
        <v>67.2</v>
      </c>
      <c r="D89" s="80">
        <v>0.250283018867925</v>
      </c>
      <c r="E89" s="179">
        <v>0.0250283018867925</v>
      </c>
      <c r="F89" s="179">
        <v>0.0250283018867925</v>
      </c>
      <c r="G89" s="180">
        <v>0.0265457184325109</v>
      </c>
    </row>
    <row r="90" spans="1:7">
      <c r="A90" s="215" t="s">
        <v>189</v>
      </c>
      <c r="B90" s="216">
        <v>70.4</v>
      </c>
      <c r="C90" s="79">
        <f t="shared" si="1"/>
        <v>68.9</v>
      </c>
      <c r="D90" s="80">
        <v>0.266257102272727</v>
      </c>
      <c r="E90" s="179">
        <v>0.0266257102272727</v>
      </c>
      <c r="F90" s="179">
        <v>0.0266257102272727</v>
      </c>
      <c r="G90" s="180">
        <v>0.0281107954545455</v>
      </c>
    </row>
    <row r="91" spans="1:7">
      <c r="A91" s="215" t="s">
        <v>190</v>
      </c>
      <c r="B91" s="216">
        <v>72.1</v>
      </c>
      <c r="C91" s="79">
        <f t="shared" si="1"/>
        <v>70.4</v>
      </c>
      <c r="D91" s="80">
        <v>0.283557558945908</v>
      </c>
      <c r="E91" s="179">
        <v>0.0283557558945908</v>
      </c>
      <c r="F91" s="179">
        <v>0.0283557558945908</v>
      </c>
      <c r="G91" s="180">
        <v>0.0298058252427184</v>
      </c>
    </row>
    <row r="92" spans="1:7">
      <c r="A92" s="215" t="s">
        <v>191</v>
      </c>
      <c r="B92" s="216">
        <v>73.7</v>
      </c>
      <c r="C92" s="79">
        <f t="shared" si="1"/>
        <v>72.1</v>
      </c>
      <c r="D92" s="80">
        <v>0.299111261872456</v>
      </c>
      <c r="E92" s="179">
        <v>0.0299111261872456</v>
      </c>
      <c r="F92" s="179">
        <v>0.0299111261872456</v>
      </c>
      <c r="G92" s="180">
        <v>0.0313297150610583</v>
      </c>
    </row>
    <row r="93" spans="1:7">
      <c r="A93" s="215" t="s">
        <v>192</v>
      </c>
      <c r="B93" s="216">
        <v>75.5</v>
      </c>
      <c r="C93" s="79">
        <f t="shared" si="1"/>
        <v>73.7</v>
      </c>
      <c r="D93" s="80">
        <v>0.31582119205298</v>
      </c>
      <c r="E93" s="179">
        <v>0.031582119205298</v>
      </c>
      <c r="F93" s="179">
        <v>0.031582119205298</v>
      </c>
      <c r="G93" s="180">
        <v>0.0329668874172185</v>
      </c>
    </row>
    <row r="94" spans="1:7">
      <c r="A94" s="215" t="s">
        <v>193</v>
      </c>
      <c r="B94" s="216">
        <v>76.9</v>
      </c>
      <c r="C94" s="79">
        <f t="shared" si="1"/>
        <v>75.5</v>
      </c>
      <c r="D94" s="80">
        <v>0.328276983094929</v>
      </c>
      <c r="E94" s="179">
        <v>0.0328276983094929</v>
      </c>
      <c r="F94" s="179">
        <v>0.0328276983094929</v>
      </c>
      <c r="G94" s="180">
        <v>0.0341872561768531</v>
      </c>
    </row>
    <row r="95" spans="1:7">
      <c r="A95" s="215" t="s">
        <v>194</v>
      </c>
      <c r="B95" s="216">
        <v>78.7</v>
      </c>
      <c r="C95" s="79">
        <f t="shared" si="1"/>
        <v>76.9</v>
      </c>
      <c r="D95" s="80">
        <v>0.34364040660737</v>
      </c>
      <c r="E95" s="179">
        <v>0.034364040660737</v>
      </c>
      <c r="F95" s="179">
        <v>0.034364040660737</v>
      </c>
      <c r="G95" s="180">
        <v>0.0356925031766201</v>
      </c>
    </row>
    <row r="96" spans="1:7">
      <c r="A96" s="215" t="s">
        <v>195</v>
      </c>
      <c r="B96" s="216">
        <v>80.7</v>
      </c>
      <c r="C96" s="79">
        <f t="shared" si="1"/>
        <v>78.7</v>
      </c>
      <c r="D96" s="80">
        <v>0.359907063197026</v>
      </c>
      <c r="E96" s="179">
        <v>0.0359907063197026</v>
      </c>
      <c r="F96" s="179">
        <v>0.0359907063197026</v>
      </c>
      <c r="G96" s="180">
        <v>0.0372862453531599</v>
      </c>
    </row>
    <row r="97" spans="1:7">
      <c r="A97" s="215" t="s">
        <v>196</v>
      </c>
      <c r="B97" s="216">
        <v>81.9</v>
      </c>
      <c r="C97" s="79">
        <f t="shared" si="1"/>
        <v>80.7</v>
      </c>
      <c r="D97" s="80">
        <v>0.369285714285714</v>
      </c>
      <c r="E97" s="179">
        <v>0.0369285714285714</v>
      </c>
      <c r="F97" s="179">
        <v>0.0369285714285714</v>
      </c>
      <c r="G97" s="180">
        <v>0.0382051282051282</v>
      </c>
    </row>
    <row r="98" spans="1:7">
      <c r="A98" s="215" t="s">
        <v>197</v>
      </c>
      <c r="B98" s="216">
        <v>83.4</v>
      </c>
      <c r="C98" s="79">
        <f t="shared" si="1"/>
        <v>81.9</v>
      </c>
      <c r="D98" s="80">
        <v>0.380629496402878</v>
      </c>
      <c r="E98" s="179">
        <v>0.0380629496402878</v>
      </c>
      <c r="F98" s="179">
        <v>0.0380629496402878</v>
      </c>
      <c r="G98" s="180">
        <v>0.0393165467625899</v>
      </c>
    </row>
    <row r="99" spans="1:7">
      <c r="A99" s="215" t="s">
        <v>198</v>
      </c>
      <c r="B99" s="216">
        <v>85.1</v>
      </c>
      <c r="C99" s="79">
        <f t="shared" si="1"/>
        <v>83.4</v>
      </c>
      <c r="D99" s="80">
        <v>0.393002350176263</v>
      </c>
      <c r="E99" s="179">
        <v>0.0393002350176263</v>
      </c>
      <c r="F99" s="179">
        <v>0.0393002350176263</v>
      </c>
      <c r="G99" s="180">
        <v>0.0431727379553466</v>
      </c>
    </row>
    <row r="100" spans="1:7">
      <c r="A100" s="215" t="s">
        <v>199</v>
      </c>
      <c r="B100" s="216">
        <v>87.5</v>
      </c>
      <c r="C100" s="79">
        <f t="shared" si="1"/>
        <v>85.1</v>
      </c>
      <c r="D100" s="80">
        <v>0.409651428571429</v>
      </c>
      <c r="E100" s="179">
        <v>0.0457908571428571</v>
      </c>
      <c r="F100" s="179">
        <v>0.0457908571428571</v>
      </c>
      <c r="G100" s="180">
        <v>0.05296</v>
      </c>
    </row>
    <row r="101" spans="1:7">
      <c r="A101" s="215" t="s">
        <v>200</v>
      </c>
      <c r="B101" s="216">
        <v>89.1</v>
      </c>
      <c r="C101" s="79">
        <f t="shared" si="1"/>
        <v>87.5</v>
      </c>
      <c r="D101" s="80">
        <v>0.420252525252525</v>
      </c>
      <c r="E101" s="179">
        <v>0.0521515151515151</v>
      </c>
      <c r="F101" s="179">
        <v>0.0521515151515151</v>
      </c>
      <c r="G101" s="180">
        <v>0.0591919191919191</v>
      </c>
    </row>
    <row r="102" spans="1:7">
      <c r="A102" s="215" t="s">
        <v>201</v>
      </c>
      <c r="B102" s="216">
        <v>90.7</v>
      </c>
      <c r="C102" s="79">
        <f t="shared" si="1"/>
        <v>89.1</v>
      </c>
      <c r="D102" s="80">
        <v>0.4304796030871</v>
      </c>
      <c r="E102" s="179">
        <v>0.0582877618522602</v>
      </c>
      <c r="F102" s="179">
        <v>0.0582877618522602</v>
      </c>
      <c r="G102" s="180">
        <v>0.0652039691289967</v>
      </c>
    </row>
    <row r="103" spans="1:7">
      <c r="A103" s="215" t="s">
        <v>202</v>
      </c>
      <c r="B103" s="216">
        <v>92.4</v>
      </c>
      <c r="C103" s="79">
        <f t="shared" si="1"/>
        <v>90.7</v>
      </c>
      <c r="D103" s="80">
        <v>0.440957792207792</v>
      </c>
      <c r="E103" s="179">
        <v>0.0645746753246754</v>
      </c>
      <c r="F103" s="179">
        <v>0.0645746753246754</v>
      </c>
      <c r="G103" s="180">
        <v>0.0713636363636364</v>
      </c>
    </row>
    <row r="104" spans="1:7">
      <c r="A104" s="215" t="s">
        <v>203</v>
      </c>
      <c r="B104" s="216">
        <v>94.5</v>
      </c>
      <c r="C104" s="79">
        <f t="shared" si="1"/>
        <v>92.4</v>
      </c>
      <c r="D104" s="80">
        <v>0.453380952380952</v>
      </c>
      <c r="E104" s="179">
        <v>0.0720285714285714</v>
      </c>
      <c r="F104" s="179">
        <v>0.0720285714285714</v>
      </c>
      <c r="G104" s="180">
        <v>0.0786666666666666</v>
      </c>
    </row>
    <row r="105" spans="1:7">
      <c r="A105" s="215" t="s">
        <v>204</v>
      </c>
      <c r="B105" s="216">
        <v>97.4</v>
      </c>
      <c r="C105" s="79">
        <f t="shared" si="1"/>
        <v>94.5</v>
      </c>
      <c r="D105" s="80">
        <v>0.469656057494867</v>
      </c>
      <c r="E105" s="179">
        <v>0.0817936344969199</v>
      </c>
      <c r="F105" s="179">
        <v>0.0817936344969199</v>
      </c>
      <c r="G105" s="180">
        <v>0.0882340862422998</v>
      </c>
    </row>
    <row r="106" spans="1:7">
      <c r="A106" s="215" t="s">
        <v>205</v>
      </c>
      <c r="B106" s="216">
        <v>99.9</v>
      </c>
      <c r="C106" s="79">
        <f t="shared" si="1"/>
        <v>97.4</v>
      </c>
      <c r="D106" s="80">
        <v>0.482927927927928</v>
      </c>
      <c r="E106" s="179">
        <v>0.0897567567567568</v>
      </c>
      <c r="F106" s="179">
        <v>0.0897567567567568</v>
      </c>
      <c r="G106" s="180">
        <v>0.096036036036036</v>
      </c>
    </row>
    <row r="107" spans="1:7">
      <c r="A107" s="215" t="s">
        <v>206</v>
      </c>
      <c r="B107" s="216">
        <v>102.6</v>
      </c>
      <c r="C107" s="79">
        <f t="shared" si="1"/>
        <v>99.9</v>
      </c>
      <c r="D107" s="80">
        <v>0.496535087719298</v>
      </c>
      <c r="E107" s="179">
        <v>0.0979210526315789</v>
      </c>
      <c r="F107" s="179">
        <v>0.0979210526315789</v>
      </c>
      <c r="G107" s="180">
        <v>0.104035087719298</v>
      </c>
    </row>
    <row r="108" spans="1:7">
      <c r="A108" s="215" t="s">
        <v>207</v>
      </c>
      <c r="B108" s="216">
        <v>104.5</v>
      </c>
      <c r="C108" s="79">
        <f t="shared" si="1"/>
        <v>102.6</v>
      </c>
      <c r="D108" s="80">
        <v>0.505688995215311</v>
      </c>
      <c r="E108" s="179">
        <v>0.103413397129187</v>
      </c>
      <c r="F108" s="179">
        <v>0.103413397129187</v>
      </c>
      <c r="G108" s="180">
        <v>0.109416267942584</v>
      </c>
    </row>
    <row r="109" spans="1:7">
      <c r="A109" s="215" t="s">
        <v>208</v>
      </c>
      <c r="B109" s="216">
        <v>107.3</v>
      </c>
      <c r="C109" s="79">
        <f t="shared" si="1"/>
        <v>104.5</v>
      </c>
      <c r="D109" s="80">
        <v>0.51858807082945</v>
      </c>
      <c r="E109" s="179">
        <v>0.11115284249767</v>
      </c>
      <c r="F109" s="179">
        <v>0.11115284249767</v>
      </c>
      <c r="G109" s="180">
        <v>0.116999068033551</v>
      </c>
    </row>
    <row r="110" spans="1:7">
      <c r="A110" s="215" t="s">
        <v>209</v>
      </c>
      <c r="B110" s="216">
        <v>110</v>
      </c>
      <c r="C110" s="79">
        <f t="shared" si="1"/>
        <v>107.3</v>
      </c>
      <c r="D110" s="80">
        <v>0.530404545454546</v>
      </c>
      <c r="E110" s="179">
        <v>0.118242727272727</v>
      </c>
      <c r="F110" s="179">
        <v>0.118242727272727</v>
      </c>
      <c r="G110" s="180">
        <v>0.123945454545455</v>
      </c>
    </row>
    <row r="111" spans="1:7">
      <c r="A111" s="215" t="s">
        <v>210</v>
      </c>
      <c r="B111" s="216">
        <v>113.4</v>
      </c>
      <c r="C111" s="79">
        <f t="shared" si="1"/>
        <v>110</v>
      </c>
      <c r="D111" s="80">
        <v>0.544484126984127</v>
      </c>
      <c r="E111" s="179">
        <v>0.126690476190476</v>
      </c>
      <c r="F111" s="179">
        <v>0.126690476190476</v>
      </c>
      <c r="G111" s="180">
        <v>0.132222222222222</v>
      </c>
    </row>
    <row r="112" spans="1:7">
      <c r="A112" s="215" t="s">
        <v>211</v>
      </c>
      <c r="B112" s="216">
        <v>118.3</v>
      </c>
      <c r="C112" s="79">
        <f t="shared" si="1"/>
        <v>113.4</v>
      </c>
      <c r="D112" s="80">
        <v>0.563351648351648</v>
      </c>
      <c r="E112" s="179">
        <v>0.138010989010989</v>
      </c>
      <c r="F112" s="179">
        <v>0.138010989010989</v>
      </c>
      <c r="G112" s="180">
        <v>0.143313609467456</v>
      </c>
    </row>
    <row r="113" spans="1:7">
      <c r="A113" s="215" t="s">
        <v>212</v>
      </c>
      <c r="B113" s="216">
        <v>121.7</v>
      </c>
      <c r="C113" s="79">
        <f t="shared" si="1"/>
        <v>118.3</v>
      </c>
      <c r="D113" s="80">
        <v>0.575550534100246</v>
      </c>
      <c r="E113" s="179">
        <v>0.145330320460148</v>
      </c>
      <c r="F113" s="179">
        <v>0.145330320460148</v>
      </c>
      <c r="G113" s="180">
        <v>0.150484798685292</v>
      </c>
    </row>
    <row r="114" spans="1:7">
      <c r="A114" s="215" t="s">
        <v>213</v>
      </c>
      <c r="B114" s="216">
        <v>125.6</v>
      </c>
      <c r="C114" s="79">
        <f t="shared" si="1"/>
        <v>121.7</v>
      </c>
      <c r="D114" s="80">
        <v>0.588730095541401</v>
      </c>
      <c r="E114" s="179">
        <v>0.153238057324841</v>
      </c>
      <c r="F114" s="179">
        <v>0.153238057324841</v>
      </c>
      <c r="G114" s="180">
        <v>0.158232484076433</v>
      </c>
    </row>
    <row r="115" spans="1:7">
      <c r="A115" s="215" t="s">
        <v>214</v>
      </c>
      <c r="B115" s="216">
        <v>130.7</v>
      </c>
      <c r="C115" s="79">
        <f t="shared" si="1"/>
        <v>125.6</v>
      </c>
      <c r="D115" s="80">
        <v>0.604778117827085</v>
      </c>
      <c r="E115" s="179">
        <v>0.162866870696251</v>
      </c>
      <c r="F115" s="179">
        <v>0.162866870696251</v>
      </c>
      <c r="G115" s="180">
        <v>0.167666411629686</v>
      </c>
    </row>
    <row r="116" spans="1:7">
      <c r="A116" s="215" t="s">
        <v>215</v>
      </c>
      <c r="B116" s="216">
        <v>134.6</v>
      </c>
      <c r="C116" s="79">
        <f t="shared" si="1"/>
        <v>130.7</v>
      </c>
      <c r="D116" s="80">
        <v>0.616229569093611</v>
      </c>
      <c r="E116" s="179">
        <v>0.169737741456166</v>
      </c>
      <c r="F116" s="179">
        <v>0.169737741456166</v>
      </c>
      <c r="G116" s="180">
        <v>0.174398216939079</v>
      </c>
    </row>
    <row r="117" spans="1:7">
      <c r="A117" s="215" t="s">
        <v>216</v>
      </c>
      <c r="B117" s="216">
        <v>141.2</v>
      </c>
      <c r="C117" s="79">
        <f t="shared" si="1"/>
        <v>134.6</v>
      </c>
      <c r="D117" s="80">
        <v>0.634167847025496</v>
      </c>
      <c r="E117" s="179">
        <v>0.180500708215297</v>
      </c>
      <c r="F117" s="179">
        <v>0.180500708215297</v>
      </c>
      <c r="G117" s="180">
        <v>0.184943342776204</v>
      </c>
    </row>
    <row r="118" spans="1:7">
      <c r="A118" s="215" t="s">
        <v>217</v>
      </c>
      <c r="B118" s="216">
        <v>149.3</v>
      </c>
      <c r="C118" s="79">
        <f t="shared" si="1"/>
        <v>141.2</v>
      </c>
      <c r="D118" s="80">
        <v>0.654015405224381</v>
      </c>
      <c r="E118" s="179">
        <v>0.192409243134628</v>
      </c>
      <c r="F118" s="179">
        <v>0.192409243134628</v>
      </c>
      <c r="G118" s="180">
        <v>0.196610850636303</v>
      </c>
    </row>
    <row r="119" spans="1:7">
      <c r="A119" s="215" t="s">
        <v>218</v>
      </c>
      <c r="B119" s="216">
        <v>158.8</v>
      </c>
      <c r="C119" s="79">
        <f t="shared" si="1"/>
        <v>149.3</v>
      </c>
      <c r="D119" s="80">
        <v>0.674713476070529</v>
      </c>
      <c r="E119" s="179">
        <v>0.204828085642317</v>
      </c>
      <c r="F119" s="179">
        <v>0.204828085642317</v>
      </c>
      <c r="G119" s="180">
        <v>0.208778337531486</v>
      </c>
    </row>
    <row r="120" spans="1:7">
      <c r="A120" s="215" t="s">
        <v>219</v>
      </c>
      <c r="B120" s="216">
        <v>167.3</v>
      </c>
      <c r="C120" s="79">
        <f t="shared" si="1"/>
        <v>158.8</v>
      </c>
      <c r="D120" s="80">
        <v>0.691240286909743</v>
      </c>
      <c r="E120" s="179">
        <v>0.214744172145846</v>
      </c>
      <c r="F120" s="179">
        <v>0.214744172145846</v>
      </c>
      <c r="G120" s="180">
        <v>0.218493723849372</v>
      </c>
    </row>
    <row r="121" spans="1:7">
      <c r="A121" s="215" t="s">
        <v>220</v>
      </c>
      <c r="B121" s="216">
        <v>187.5</v>
      </c>
      <c r="C121" s="79">
        <f t="shared" si="1"/>
        <v>167.3</v>
      </c>
      <c r="D121" s="80">
        <v>0.724504</v>
      </c>
      <c r="E121" s="179">
        <v>0.2347024</v>
      </c>
      <c r="F121" s="179">
        <v>0.2347024</v>
      </c>
      <c r="G121" s="180">
        <v>0.238048</v>
      </c>
    </row>
    <row r="122" spans="1:7">
      <c r="A122" s="215" t="s">
        <v>221</v>
      </c>
      <c r="B122" s="216">
        <v>224.5</v>
      </c>
      <c r="C122" s="79">
        <f t="shared" si="1"/>
        <v>187.5</v>
      </c>
      <c r="D122" s="80">
        <v>0.76990868596882</v>
      </c>
      <c r="E122" s="179">
        <v>0.261945211581292</v>
      </c>
      <c r="F122" s="179">
        <v>0.261945211581292</v>
      </c>
      <c r="G122" s="180">
        <v>0.264739420935412</v>
      </c>
    </row>
    <row r="123" ht="15.75" spans="1:7">
      <c r="A123" s="217" t="s">
        <v>221</v>
      </c>
      <c r="B123" s="218" t="s">
        <v>421</v>
      </c>
      <c r="C123" s="79">
        <f t="shared" si="1"/>
        <v>224.5</v>
      </c>
      <c r="D123" s="183"/>
      <c r="E123" s="184"/>
      <c r="F123" s="184"/>
      <c r="G123" s="185"/>
    </row>
    <row r="124" ht="15.75" spans="1:7">
      <c r="A124" s="186"/>
      <c r="B124" s="219"/>
      <c r="C124" s="78"/>
      <c r="D124" s="220"/>
      <c r="E124" s="221">
        <v>0.0711257941908151</v>
      </c>
      <c r="F124" s="221">
        <v>0.0711257941908151</v>
      </c>
      <c r="G124" s="222">
        <v>0.0742728254188103</v>
      </c>
    </row>
    <row r="125" ht="51" spans="1:7">
      <c r="A125" s="191" t="s">
        <v>233</v>
      </c>
      <c r="B125" s="223">
        <v>34.2</v>
      </c>
      <c r="C125" s="78"/>
      <c r="D125" s="193"/>
      <c r="E125" s="194">
        <v>86.0925</v>
      </c>
      <c r="F125" s="195">
        <v>86.0925</v>
      </c>
      <c r="G125" s="196">
        <v>84.35</v>
      </c>
    </row>
    <row r="126" ht="52.5" customHeight="1" spans="1:7">
      <c r="A126" s="197" t="s">
        <v>224</v>
      </c>
      <c r="B126" s="224">
        <v>90.3</v>
      </c>
      <c r="C126" s="78"/>
      <c r="D126" s="199"/>
      <c r="E126" s="200"/>
      <c r="F126" s="200"/>
      <c r="G126" s="201"/>
    </row>
    <row r="127" ht="78" customHeight="1" spans="1:7">
      <c r="A127" s="202" t="s">
        <v>225</v>
      </c>
      <c r="B127" s="225">
        <v>20.5</v>
      </c>
      <c r="C127" s="78"/>
      <c r="D127" s="184"/>
      <c r="E127" s="183">
        <v>51.6555</v>
      </c>
      <c r="F127" s="183">
        <v>51.6555</v>
      </c>
      <c r="G127" s="204">
        <v>50.61</v>
      </c>
    </row>
    <row r="128" ht="15.75"/>
    <row r="129" ht="51.75" spans="1:2">
      <c r="A129" s="205" t="s">
        <v>224</v>
      </c>
      <c r="B129" s="166">
        <f>B126</f>
        <v>90.3</v>
      </c>
    </row>
    <row r="130" spans="1:3">
      <c r="A130" s="542" t="s">
        <v>226</v>
      </c>
      <c r="B130" s="207">
        <f>AVERAGE(B78:B117)</f>
        <v>86.0925</v>
      </c>
      <c r="C130" s="95"/>
    </row>
    <row r="131" spans="1:3">
      <c r="A131" s="543" t="s">
        <v>227</v>
      </c>
      <c r="B131" s="209">
        <f>AVERAGE(B83:B112)</f>
        <v>84.35</v>
      </c>
      <c r="C131" s="96"/>
    </row>
    <row r="132" ht="15.75" spans="1:3">
      <c r="A132" s="544" t="s">
        <v>228</v>
      </c>
      <c r="B132" s="211">
        <f>AVERAGE(B89:B107)</f>
        <v>84.2842105263158</v>
      </c>
      <c r="C132" s="96"/>
    </row>
    <row r="133" ht="15.75"/>
    <row r="134" ht="15.75" spans="1:7">
      <c r="A134" s="155" t="s">
        <v>165</v>
      </c>
      <c r="B134" s="156" t="s">
        <v>347</v>
      </c>
      <c r="C134" s="157"/>
      <c r="D134" s="158"/>
      <c r="E134" s="159">
        <f>(1-E189)^(1/3)-1</f>
        <v>-0.029454287542974</v>
      </c>
      <c r="F134" s="160">
        <f>(1-F189)^(1/3)-1</f>
        <v>-0.029454287542974</v>
      </c>
      <c r="G134" s="161"/>
    </row>
    <row r="135" ht="77.25" spans="1:7">
      <c r="A135" s="162"/>
      <c r="B135" s="130" t="s">
        <v>167</v>
      </c>
      <c r="C135" s="107"/>
      <c r="D135" s="130" t="s">
        <v>168</v>
      </c>
      <c r="E135" s="130" t="s">
        <v>169</v>
      </c>
      <c r="F135" s="130" t="s">
        <v>169</v>
      </c>
      <c r="G135" s="130"/>
    </row>
    <row r="136" ht="26.25" spans="1:7">
      <c r="A136" s="163"/>
      <c r="B136" s="164" t="s">
        <v>235</v>
      </c>
      <c r="C136" s="107"/>
      <c r="D136" s="164" t="s">
        <v>171</v>
      </c>
      <c r="E136" s="538" t="s">
        <v>401</v>
      </c>
      <c r="F136" s="539" t="s">
        <v>402</v>
      </c>
      <c r="G136" s="166"/>
    </row>
    <row r="137" ht="15.75" spans="1:7">
      <c r="A137" s="167">
        <v>1</v>
      </c>
      <c r="B137" s="168">
        <v>2</v>
      </c>
      <c r="C137" s="76"/>
      <c r="D137" s="169">
        <v>3</v>
      </c>
      <c r="E137" s="170">
        <v>4</v>
      </c>
      <c r="F137" s="171">
        <v>5</v>
      </c>
      <c r="G137" s="170"/>
    </row>
    <row r="138" spans="1:7">
      <c r="A138" s="540" t="s">
        <v>172</v>
      </c>
      <c r="B138" s="226">
        <v>0.36</v>
      </c>
      <c r="C138" s="112">
        <v>0</v>
      </c>
      <c r="D138" s="174">
        <v>0</v>
      </c>
      <c r="E138" s="175">
        <v>0</v>
      </c>
      <c r="F138" s="175">
        <v>0</v>
      </c>
      <c r="G138" s="176">
        <v>0</v>
      </c>
    </row>
    <row r="139" spans="1:7">
      <c r="A139" s="541" t="s">
        <v>173</v>
      </c>
      <c r="B139" s="227">
        <v>0.46</v>
      </c>
      <c r="C139" s="79">
        <f>B138</f>
        <v>0.36</v>
      </c>
      <c r="D139" s="174">
        <v>0</v>
      </c>
      <c r="E139" s="179">
        <v>0</v>
      </c>
      <c r="F139" s="179">
        <v>0</v>
      </c>
      <c r="G139" s="180">
        <v>0</v>
      </c>
    </row>
    <row r="140" spans="1:7">
      <c r="A140" s="541" t="s">
        <v>174</v>
      </c>
      <c r="B140" s="227">
        <v>0.51</v>
      </c>
      <c r="C140" s="79">
        <f t="shared" ref="C140:C188" si="2">B139</f>
        <v>0.46</v>
      </c>
      <c r="D140" s="174">
        <v>0</v>
      </c>
      <c r="E140" s="179">
        <v>0</v>
      </c>
      <c r="F140" s="179">
        <v>0</v>
      </c>
      <c r="G140" s="180">
        <v>0</v>
      </c>
    </row>
    <row r="141" spans="1:7">
      <c r="A141" s="541" t="s">
        <v>175</v>
      </c>
      <c r="B141" s="227">
        <v>0.61</v>
      </c>
      <c r="C141" s="79">
        <f t="shared" si="2"/>
        <v>0.51</v>
      </c>
      <c r="D141" s="174">
        <v>0</v>
      </c>
      <c r="E141" s="179">
        <v>0</v>
      </c>
      <c r="F141" s="179">
        <v>0</v>
      </c>
      <c r="G141" s="180">
        <v>0</v>
      </c>
    </row>
    <row r="142" spans="1:7">
      <c r="A142" s="541" t="s">
        <v>176</v>
      </c>
      <c r="B142" s="227">
        <v>0.65</v>
      </c>
      <c r="C142" s="79">
        <f t="shared" si="2"/>
        <v>0.61</v>
      </c>
      <c r="D142" s="174">
        <v>0</v>
      </c>
      <c r="E142" s="179">
        <v>0</v>
      </c>
      <c r="F142" s="179">
        <v>0</v>
      </c>
      <c r="G142" s="180">
        <v>0</v>
      </c>
    </row>
    <row r="143" spans="1:7">
      <c r="A143" s="541" t="s">
        <v>177</v>
      </c>
      <c r="B143" s="227">
        <v>0.73</v>
      </c>
      <c r="C143" s="79">
        <f t="shared" si="2"/>
        <v>0.65</v>
      </c>
      <c r="D143" s="174">
        <v>0</v>
      </c>
      <c r="E143" s="179">
        <v>0</v>
      </c>
      <c r="F143" s="179">
        <v>0</v>
      </c>
      <c r="G143" s="180">
        <v>0</v>
      </c>
    </row>
    <row r="144" spans="1:7">
      <c r="A144" s="541" t="s">
        <v>178</v>
      </c>
      <c r="B144" s="227">
        <v>0.79</v>
      </c>
      <c r="C144" s="79">
        <f t="shared" si="2"/>
        <v>0.73</v>
      </c>
      <c r="D144" s="174">
        <v>0</v>
      </c>
      <c r="E144" s="179">
        <v>0</v>
      </c>
      <c r="F144" s="179">
        <v>0</v>
      </c>
      <c r="G144" s="180">
        <v>0</v>
      </c>
    </row>
    <row r="145" spans="1:7">
      <c r="A145" s="177" t="s">
        <v>179</v>
      </c>
      <c r="B145" s="227">
        <v>0.85</v>
      </c>
      <c r="C145" s="79">
        <f t="shared" si="2"/>
        <v>0.79</v>
      </c>
      <c r="D145" s="174">
        <v>0</v>
      </c>
      <c r="E145" s="179">
        <v>0</v>
      </c>
      <c r="F145" s="179">
        <v>0</v>
      </c>
      <c r="G145" s="180">
        <v>0</v>
      </c>
    </row>
    <row r="146" spans="1:7">
      <c r="A146" s="177" t="s">
        <v>180</v>
      </c>
      <c r="B146" s="227">
        <v>0.91</v>
      </c>
      <c r="C146" s="79">
        <f t="shared" si="2"/>
        <v>0.85</v>
      </c>
      <c r="D146" s="174">
        <v>0</v>
      </c>
      <c r="E146" s="179">
        <v>0</v>
      </c>
      <c r="F146" s="179">
        <v>0</v>
      </c>
      <c r="G146" s="180">
        <v>0</v>
      </c>
    </row>
    <row r="147" spans="1:7">
      <c r="A147" s="177" t="s">
        <v>181</v>
      </c>
      <c r="B147" s="227">
        <v>0.98</v>
      </c>
      <c r="C147" s="79">
        <f t="shared" si="2"/>
        <v>0.91</v>
      </c>
      <c r="D147" s="174">
        <v>0</v>
      </c>
      <c r="E147" s="179">
        <v>0</v>
      </c>
      <c r="F147" s="179">
        <v>0</v>
      </c>
      <c r="G147" s="180">
        <v>0</v>
      </c>
    </row>
    <row r="148" spans="1:7">
      <c r="A148" s="177" t="s">
        <v>182</v>
      </c>
      <c r="B148" s="227">
        <v>1.02</v>
      </c>
      <c r="C148" s="79">
        <f t="shared" si="2"/>
        <v>0.98</v>
      </c>
      <c r="D148" s="174">
        <v>0</v>
      </c>
      <c r="E148" s="179">
        <v>0</v>
      </c>
      <c r="F148" s="179">
        <v>0</v>
      </c>
      <c r="G148" s="180">
        <v>0</v>
      </c>
    </row>
    <row r="149" spans="1:7">
      <c r="A149" s="177" t="s">
        <v>183</v>
      </c>
      <c r="B149" s="227">
        <v>1.1</v>
      </c>
      <c r="C149" s="79">
        <f t="shared" si="2"/>
        <v>1.02</v>
      </c>
      <c r="D149" s="174">
        <v>0</v>
      </c>
      <c r="E149" s="179">
        <v>0</v>
      </c>
      <c r="F149" s="179">
        <v>0</v>
      </c>
      <c r="G149" s="180">
        <v>0</v>
      </c>
    </row>
    <row r="150" spans="1:7">
      <c r="A150" s="177" t="s">
        <v>184</v>
      </c>
      <c r="B150" s="227">
        <v>1.16</v>
      </c>
      <c r="C150" s="79">
        <f t="shared" si="2"/>
        <v>1.1</v>
      </c>
      <c r="D150" s="174">
        <v>0</v>
      </c>
      <c r="E150" s="179">
        <v>0</v>
      </c>
      <c r="F150" s="179">
        <v>0</v>
      </c>
      <c r="G150" s="180">
        <v>0</v>
      </c>
    </row>
    <row r="151" spans="1:7">
      <c r="A151" s="177" t="s">
        <v>185</v>
      </c>
      <c r="B151" s="227">
        <v>1.24</v>
      </c>
      <c r="C151" s="79">
        <f t="shared" si="2"/>
        <v>1.16</v>
      </c>
      <c r="D151" s="174">
        <v>0</v>
      </c>
      <c r="E151" s="179">
        <v>0</v>
      </c>
      <c r="F151" s="179">
        <v>0</v>
      </c>
      <c r="G151" s="180">
        <v>0</v>
      </c>
    </row>
    <row r="152" spans="1:7">
      <c r="A152" s="177" t="s">
        <v>186</v>
      </c>
      <c r="B152" s="227">
        <v>1.29</v>
      </c>
      <c r="C152" s="79">
        <f t="shared" si="2"/>
        <v>1.24</v>
      </c>
      <c r="D152" s="174">
        <v>0</v>
      </c>
      <c r="E152" s="179">
        <v>0</v>
      </c>
      <c r="F152" s="179">
        <v>0</v>
      </c>
      <c r="G152" s="180">
        <v>0</v>
      </c>
    </row>
    <row r="153" spans="1:7">
      <c r="A153" s="177" t="s">
        <v>187</v>
      </c>
      <c r="B153" s="227">
        <v>1.33</v>
      </c>
      <c r="C153" s="79">
        <f t="shared" si="2"/>
        <v>1.29</v>
      </c>
      <c r="D153" s="174">
        <v>0</v>
      </c>
      <c r="E153" s="179">
        <v>0</v>
      </c>
      <c r="F153" s="179">
        <v>0</v>
      </c>
      <c r="G153" s="180">
        <v>0</v>
      </c>
    </row>
    <row r="154" spans="1:7">
      <c r="A154" s="177" t="s">
        <v>188</v>
      </c>
      <c r="B154" s="227">
        <v>1.36</v>
      </c>
      <c r="C154" s="79">
        <f t="shared" si="2"/>
        <v>1.33</v>
      </c>
      <c r="D154" s="174">
        <v>0</v>
      </c>
      <c r="E154" s="179">
        <v>0</v>
      </c>
      <c r="F154" s="179">
        <v>0</v>
      </c>
      <c r="G154" s="180">
        <v>0</v>
      </c>
    </row>
    <row r="155" spans="1:7">
      <c r="A155" s="177" t="s">
        <v>189</v>
      </c>
      <c r="B155" s="227">
        <v>1.41</v>
      </c>
      <c r="C155" s="79">
        <f t="shared" si="2"/>
        <v>1.36</v>
      </c>
      <c r="D155" s="174">
        <v>0</v>
      </c>
      <c r="E155" s="179">
        <v>0</v>
      </c>
      <c r="F155" s="179">
        <v>0</v>
      </c>
      <c r="G155" s="180">
        <v>0</v>
      </c>
    </row>
    <row r="156" spans="1:7">
      <c r="A156" s="177" t="s">
        <v>190</v>
      </c>
      <c r="B156" s="227">
        <v>1.5</v>
      </c>
      <c r="C156" s="79">
        <f t="shared" si="2"/>
        <v>1.41</v>
      </c>
      <c r="D156" s="174">
        <v>0</v>
      </c>
      <c r="E156" s="179">
        <v>0</v>
      </c>
      <c r="F156" s="179">
        <v>0</v>
      </c>
      <c r="G156" s="180">
        <v>0.00534666666666666</v>
      </c>
    </row>
    <row r="157" spans="1:7">
      <c r="A157" s="177" t="s">
        <v>191</v>
      </c>
      <c r="B157" s="227">
        <v>1.57</v>
      </c>
      <c r="C157" s="79">
        <f t="shared" si="2"/>
        <v>1.5</v>
      </c>
      <c r="D157" s="174">
        <v>0</v>
      </c>
      <c r="E157" s="179">
        <v>0</v>
      </c>
      <c r="F157" s="179">
        <v>0</v>
      </c>
      <c r="G157" s="180">
        <v>0.00956687898089171</v>
      </c>
    </row>
    <row r="158" spans="1:7">
      <c r="A158" s="177" t="s">
        <v>192</v>
      </c>
      <c r="B158" s="227">
        <v>1.68</v>
      </c>
      <c r="C158" s="79">
        <f t="shared" si="2"/>
        <v>1.57</v>
      </c>
      <c r="D158" s="174">
        <v>0</v>
      </c>
      <c r="E158" s="179">
        <v>0</v>
      </c>
      <c r="F158" s="179">
        <v>0</v>
      </c>
      <c r="G158" s="180">
        <v>0.0154880952380952</v>
      </c>
    </row>
    <row r="159" spans="1:7">
      <c r="A159" s="177" t="s">
        <v>193</v>
      </c>
      <c r="B159" s="227">
        <v>1.73</v>
      </c>
      <c r="C159" s="79">
        <f t="shared" si="2"/>
        <v>1.68</v>
      </c>
      <c r="D159" s="174">
        <v>0</v>
      </c>
      <c r="E159" s="179">
        <v>0</v>
      </c>
      <c r="F159" s="179">
        <v>0</v>
      </c>
      <c r="G159" s="180">
        <v>0.0179306358381503</v>
      </c>
    </row>
    <row r="160" spans="1:7">
      <c r="A160" s="177" t="s">
        <v>194</v>
      </c>
      <c r="B160" s="227">
        <v>1.8</v>
      </c>
      <c r="C160" s="79">
        <f t="shared" si="2"/>
        <v>1.73</v>
      </c>
      <c r="D160" s="174">
        <v>0.0293333333333333</v>
      </c>
      <c r="E160" s="179"/>
      <c r="F160" s="179">
        <v>0.00293333333333333</v>
      </c>
      <c r="G160" s="180">
        <v>0.0211222222222222</v>
      </c>
    </row>
    <row r="161" spans="1:7">
      <c r="A161" s="177" t="s">
        <v>195</v>
      </c>
      <c r="B161" s="227">
        <v>1.88</v>
      </c>
      <c r="C161" s="79">
        <f t="shared" si="2"/>
        <v>1.8</v>
      </c>
      <c r="D161" s="174">
        <v>0.0706382978723403</v>
      </c>
      <c r="E161" s="179"/>
      <c r="F161" s="179">
        <v>0.00706382978723403</v>
      </c>
      <c r="G161" s="180">
        <v>0.0244787234042553</v>
      </c>
    </row>
    <row r="162" spans="1:7">
      <c r="A162" s="177" t="s">
        <v>196</v>
      </c>
      <c r="B162" s="227">
        <v>1.96</v>
      </c>
      <c r="C162" s="79">
        <f t="shared" si="2"/>
        <v>1.88</v>
      </c>
      <c r="D162" s="174">
        <v>0.108571428571429</v>
      </c>
      <c r="E162" s="179">
        <v>0.0108571428571429</v>
      </c>
      <c r="F162" s="179">
        <v>0.0108571428571429</v>
      </c>
      <c r="G162" s="180">
        <v>0.0275612244897959</v>
      </c>
    </row>
    <row r="163" spans="1:7">
      <c r="A163" s="177" t="s">
        <v>197</v>
      </c>
      <c r="B163" s="227">
        <v>2.03</v>
      </c>
      <c r="C163" s="79">
        <f t="shared" si="2"/>
        <v>1.96</v>
      </c>
      <c r="D163" s="174">
        <v>0.139310344827586</v>
      </c>
      <c r="E163" s="179">
        <v>0.0139310344827586</v>
      </c>
      <c r="F163" s="179">
        <v>0.0139310344827586</v>
      </c>
      <c r="G163" s="180">
        <v>0.0300591133004926</v>
      </c>
    </row>
    <row r="164" spans="1:7">
      <c r="A164" s="177" t="s">
        <v>198</v>
      </c>
      <c r="B164" s="227">
        <v>2.14</v>
      </c>
      <c r="C164" s="79">
        <f t="shared" si="2"/>
        <v>2.03</v>
      </c>
      <c r="D164" s="174">
        <v>0.183551401869159</v>
      </c>
      <c r="E164" s="179">
        <v>0.0183551401869159</v>
      </c>
      <c r="F164" s="179">
        <v>0.0183551401869159</v>
      </c>
      <c r="G164" s="180">
        <v>0.0336542056074766</v>
      </c>
    </row>
    <row r="165" spans="1:7">
      <c r="A165" s="177" t="s">
        <v>199</v>
      </c>
      <c r="B165" s="227">
        <v>2.3</v>
      </c>
      <c r="C165" s="79">
        <f t="shared" si="2"/>
        <v>2.14</v>
      </c>
      <c r="D165" s="174">
        <v>0.240347826086956</v>
      </c>
      <c r="E165" s="179">
        <v>0.0240347826086956</v>
      </c>
      <c r="F165" s="179">
        <v>0.0240347826086956</v>
      </c>
      <c r="G165" s="180">
        <v>0.0382695652173913</v>
      </c>
    </row>
    <row r="166" spans="1:7">
      <c r="A166" s="177" t="s">
        <v>200</v>
      </c>
      <c r="B166" s="227">
        <v>2.38</v>
      </c>
      <c r="C166" s="79">
        <f t="shared" si="2"/>
        <v>2.3</v>
      </c>
      <c r="D166" s="174">
        <v>0.265882352941176</v>
      </c>
      <c r="E166" s="179">
        <v>0.0265882352941176</v>
      </c>
      <c r="F166" s="179">
        <v>0.0265882352941176</v>
      </c>
      <c r="G166" s="180">
        <v>0.0420672268907562</v>
      </c>
    </row>
    <row r="167" spans="1:7">
      <c r="A167" s="177" t="s">
        <v>201</v>
      </c>
      <c r="B167" s="227">
        <v>2.5</v>
      </c>
      <c r="C167" s="79">
        <f t="shared" si="2"/>
        <v>2.38</v>
      </c>
      <c r="D167" s="174">
        <v>0.30112</v>
      </c>
      <c r="E167" s="179">
        <v>0.030112</v>
      </c>
      <c r="F167" s="179">
        <v>0.030112</v>
      </c>
      <c r="G167" s="180">
        <v>0.0592479999999999</v>
      </c>
    </row>
    <row r="168" spans="1:7">
      <c r="A168" s="177" t="s">
        <v>202</v>
      </c>
      <c r="B168" s="227">
        <v>2.61</v>
      </c>
      <c r="C168" s="79">
        <f t="shared" si="2"/>
        <v>2.5</v>
      </c>
      <c r="D168" s="174">
        <v>0.330574712643678</v>
      </c>
      <c r="E168" s="179">
        <v>0.0330574712643678</v>
      </c>
      <c r="F168" s="179">
        <v>0.0330574712643678</v>
      </c>
      <c r="G168" s="180">
        <v>0.0736091954022988</v>
      </c>
    </row>
    <row r="169" spans="1:7">
      <c r="A169" s="177" t="s">
        <v>203</v>
      </c>
      <c r="B169" s="227">
        <v>2.82</v>
      </c>
      <c r="C169" s="79">
        <f t="shared" si="2"/>
        <v>2.61</v>
      </c>
      <c r="D169" s="174">
        <v>0.380425531914894</v>
      </c>
      <c r="E169" s="179">
        <v>0.0380425531914894</v>
      </c>
      <c r="F169" s="179">
        <v>0.0380425531914894</v>
      </c>
      <c r="G169" s="180">
        <v>0.0979148936170212</v>
      </c>
    </row>
    <row r="170" spans="1:7">
      <c r="A170" s="177" t="s">
        <v>204</v>
      </c>
      <c r="B170" s="227">
        <v>3.02</v>
      </c>
      <c r="C170" s="79">
        <f t="shared" si="2"/>
        <v>2.82</v>
      </c>
      <c r="D170" s="174">
        <v>0.421456953642384</v>
      </c>
      <c r="E170" s="179">
        <v>0.0528741721854304</v>
      </c>
      <c r="F170" s="179">
        <v>0.0528741721854304</v>
      </c>
      <c r="G170" s="180">
        <v>0.117920529801324</v>
      </c>
    </row>
    <row r="171" spans="1:7">
      <c r="A171" s="177" t="s">
        <v>205</v>
      </c>
      <c r="B171" s="227">
        <v>3.2</v>
      </c>
      <c r="C171" s="79">
        <f t="shared" si="2"/>
        <v>3.02</v>
      </c>
      <c r="D171" s="174">
        <v>0.454</v>
      </c>
      <c r="E171" s="179">
        <v>0.0724</v>
      </c>
      <c r="F171" s="179">
        <v>0.0724</v>
      </c>
      <c r="G171" s="180">
        <v>0.1337875</v>
      </c>
    </row>
    <row r="172" spans="1:7">
      <c r="A172" s="177" t="s">
        <v>206</v>
      </c>
      <c r="B172" s="227">
        <v>3.41</v>
      </c>
      <c r="C172" s="79">
        <f t="shared" si="2"/>
        <v>3.2</v>
      </c>
      <c r="D172" s="174">
        <v>0.487624633431085</v>
      </c>
      <c r="E172" s="179">
        <v>0.092574780058651</v>
      </c>
      <c r="F172" s="179">
        <v>0.092574780058651</v>
      </c>
      <c r="G172" s="180">
        <v>0.150181818181818</v>
      </c>
    </row>
    <row r="173" spans="1:7">
      <c r="A173" s="177" t="s">
        <v>207</v>
      </c>
      <c r="B173" s="227">
        <v>3.71</v>
      </c>
      <c r="C173" s="79">
        <f t="shared" si="2"/>
        <v>3.41</v>
      </c>
      <c r="D173" s="174">
        <v>0.529056603773585</v>
      </c>
      <c r="E173" s="179">
        <v>0.117433962264151</v>
      </c>
      <c r="F173" s="179">
        <v>0.117433962264151</v>
      </c>
      <c r="G173" s="180">
        <v>0.170382749326145</v>
      </c>
    </row>
    <row r="174" spans="1:7">
      <c r="A174" s="177" t="s">
        <v>208</v>
      </c>
      <c r="B174" s="227">
        <v>4.08</v>
      </c>
      <c r="C174" s="79">
        <f t="shared" si="2"/>
        <v>3.71</v>
      </c>
      <c r="D174" s="174">
        <v>0.571764705882353</v>
      </c>
      <c r="E174" s="179">
        <v>0.143058823529412</v>
      </c>
      <c r="F174" s="179">
        <v>0.143058823529412</v>
      </c>
      <c r="G174" s="180">
        <v>0.191205882352941</v>
      </c>
    </row>
    <row r="175" spans="1:7">
      <c r="A175" s="177" t="s">
        <v>209</v>
      </c>
      <c r="B175" s="227">
        <v>4.35</v>
      </c>
      <c r="C175" s="79">
        <f t="shared" si="2"/>
        <v>4.08</v>
      </c>
      <c r="D175" s="174">
        <v>0.598344827586207</v>
      </c>
      <c r="E175" s="179">
        <v>0.159006896551724</v>
      </c>
      <c r="F175" s="179">
        <v>0.159006896551724</v>
      </c>
      <c r="G175" s="180">
        <v>0.204165517241379</v>
      </c>
    </row>
    <row r="176" spans="1:7">
      <c r="A176" s="177" t="s">
        <v>210</v>
      </c>
      <c r="B176" s="227">
        <v>4.92</v>
      </c>
      <c r="C176" s="79">
        <f t="shared" si="2"/>
        <v>4.35</v>
      </c>
      <c r="D176" s="174">
        <v>0.644878048780488</v>
      </c>
      <c r="E176" s="179">
        <v>0.186926829268293</v>
      </c>
      <c r="F176" s="179">
        <v>0.186926829268293</v>
      </c>
      <c r="G176" s="180">
        <v>0.226853658536585</v>
      </c>
    </row>
    <row r="177" spans="1:7">
      <c r="A177" s="177" t="s">
        <v>211</v>
      </c>
      <c r="B177" s="227">
        <v>5.49</v>
      </c>
      <c r="C177" s="79">
        <f t="shared" si="2"/>
        <v>4.92</v>
      </c>
      <c r="D177" s="174">
        <v>0.681748633879781</v>
      </c>
      <c r="E177" s="179">
        <v>0.209049180327869</v>
      </c>
      <c r="F177" s="179">
        <v>0.209049180327869</v>
      </c>
      <c r="G177" s="180">
        <v>0.244830601092896</v>
      </c>
    </row>
    <row r="178" spans="1:7">
      <c r="A178" s="177" t="s">
        <v>212</v>
      </c>
      <c r="B178" s="227">
        <v>6.09</v>
      </c>
      <c r="C178" s="79">
        <f t="shared" si="2"/>
        <v>5.49</v>
      </c>
      <c r="D178" s="174">
        <v>0.713103448275862</v>
      </c>
      <c r="E178" s="179">
        <v>0.227862068965517</v>
      </c>
      <c r="F178" s="179">
        <v>0.227862068965517</v>
      </c>
      <c r="G178" s="180">
        <v>0.260118226600985</v>
      </c>
    </row>
    <row r="179" spans="1:7">
      <c r="A179" s="177" t="s">
        <v>213</v>
      </c>
      <c r="B179" s="227">
        <v>6.87</v>
      </c>
      <c r="C179" s="79">
        <f t="shared" si="2"/>
        <v>6.09</v>
      </c>
      <c r="D179" s="174">
        <v>0.745676855895196</v>
      </c>
      <c r="E179" s="179">
        <v>0.247406113537118</v>
      </c>
      <c r="F179" s="179">
        <v>0.247406113537118</v>
      </c>
      <c r="G179" s="180">
        <v>0.276</v>
      </c>
    </row>
    <row r="180" spans="1:7">
      <c r="A180" s="177" t="s">
        <v>214</v>
      </c>
      <c r="B180" s="227">
        <v>8.01</v>
      </c>
      <c r="C180" s="79">
        <f t="shared" si="2"/>
        <v>6.87</v>
      </c>
      <c r="D180" s="174">
        <v>0.78187265917603</v>
      </c>
      <c r="E180" s="179">
        <v>0.269123595505618</v>
      </c>
      <c r="F180" s="179">
        <v>0.269123595505618</v>
      </c>
      <c r="G180" s="180">
        <v>0.293647940074906</v>
      </c>
    </row>
    <row r="181" spans="1:7">
      <c r="A181" s="177" t="s">
        <v>215</v>
      </c>
      <c r="B181" s="227">
        <v>9.14</v>
      </c>
      <c r="C181" s="79">
        <f t="shared" si="2"/>
        <v>8.01</v>
      </c>
      <c r="D181" s="174">
        <v>0.808840262582057</v>
      </c>
      <c r="E181" s="179">
        <v>0.285304157549234</v>
      </c>
      <c r="F181" s="179">
        <v>0.285304157549234</v>
      </c>
      <c r="G181" s="180">
        <v>0.306796498905908</v>
      </c>
    </row>
    <row r="182" spans="1:7">
      <c r="A182" s="177" t="s">
        <v>216</v>
      </c>
      <c r="B182" s="227">
        <v>11.12</v>
      </c>
      <c r="C182" s="79">
        <f t="shared" si="2"/>
        <v>9.14</v>
      </c>
      <c r="D182" s="174">
        <v>0.842877697841727</v>
      </c>
      <c r="E182" s="179">
        <v>0.305726618705036</v>
      </c>
      <c r="F182" s="179">
        <v>0.305726618705036</v>
      </c>
      <c r="G182" s="180">
        <v>0.323392086330935</v>
      </c>
    </row>
    <row r="183" spans="1:7">
      <c r="A183" s="177" t="s">
        <v>217</v>
      </c>
      <c r="B183" s="227">
        <v>12.99</v>
      </c>
      <c r="C183" s="79">
        <f t="shared" si="2"/>
        <v>11.12</v>
      </c>
      <c r="D183" s="174">
        <v>0.865496535796767</v>
      </c>
      <c r="E183" s="179">
        <v>0.31929792147806</v>
      </c>
      <c r="F183" s="179">
        <v>0.31929792147806</v>
      </c>
      <c r="G183" s="180">
        <v>0.334420323325635</v>
      </c>
    </row>
    <row r="184" spans="1:7">
      <c r="A184" s="177" t="s">
        <v>218</v>
      </c>
      <c r="B184" s="227">
        <v>15.27</v>
      </c>
      <c r="C184" s="79">
        <f t="shared" si="2"/>
        <v>12.99</v>
      </c>
      <c r="D184" s="174">
        <v>0.885579567779961</v>
      </c>
      <c r="E184" s="179">
        <v>0.331347740667976</v>
      </c>
      <c r="F184" s="179">
        <v>0.331347740667976</v>
      </c>
      <c r="G184" s="180">
        <v>0.344212180746562</v>
      </c>
    </row>
    <row r="185" spans="1:7">
      <c r="A185" s="177" t="s">
        <v>219</v>
      </c>
      <c r="B185" s="227">
        <v>19.76</v>
      </c>
      <c r="C185" s="79">
        <f t="shared" si="2"/>
        <v>15.27</v>
      </c>
      <c r="D185" s="174">
        <v>0.911578947368421</v>
      </c>
      <c r="E185" s="179">
        <v>0.346947368421053</v>
      </c>
      <c r="F185" s="179">
        <v>0.346947368421053</v>
      </c>
      <c r="G185" s="180">
        <v>0.356888663967611</v>
      </c>
    </row>
    <row r="186" spans="1:7">
      <c r="A186" s="177" t="s">
        <v>220</v>
      </c>
      <c r="B186" s="227">
        <v>22.06</v>
      </c>
      <c r="C186" s="79">
        <f t="shared" si="2"/>
        <v>19.76</v>
      </c>
      <c r="D186" s="174">
        <v>0.920797824116047</v>
      </c>
      <c r="E186" s="179">
        <v>0.352478694469628</v>
      </c>
      <c r="F186" s="179">
        <v>0.352478694469628</v>
      </c>
      <c r="G186" s="180">
        <v>0.361383499546691</v>
      </c>
    </row>
    <row r="187" spans="1:7">
      <c r="A187" s="177" t="s">
        <v>221</v>
      </c>
      <c r="B187" s="227">
        <v>30.38</v>
      </c>
      <c r="C187" s="79">
        <f t="shared" si="2"/>
        <v>22.06</v>
      </c>
      <c r="D187" s="174">
        <v>0.942488479262673</v>
      </c>
      <c r="E187" s="179">
        <v>0.365493087557604</v>
      </c>
      <c r="F187" s="179">
        <v>0.365493087557604</v>
      </c>
      <c r="G187" s="180">
        <v>0.371959183673469</v>
      </c>
    </row>
    <row r="188" ht="15.75" spans="1:7">
      <c r="A188" s="181" t="s">
        <v>221</v>
      </c>
      <c r="B188" s="228" t="s">
        <v>422</v>
      </c>
      <c r="C188" s="79">
        <f t="shared" si="2"/>
        <v>30.38</v>
      </c>
      <c r="D188" s="184"/>
      <c r="E188" s="184"/>
      <c r="F188" s="184"/>
      <c r="G188" s="185"/>
    </row>
    <row r="189" ht="15.75" spans="1:7">
      <c r="A189" s="186"/>
      <c r="B189" s="187"/>
      <c r="C189" s="116"/>
      <c r="D189" s="188"/>
      <c r="E189" s="189">
        <v>0.0857857506809686</v>
      </c>
      <c r="F189" s="189">
        <v>0.0857857506809686</v>
      </c>
      <c r="G189" s="190">
        <v>0.103289270131626</v>
      </c>
    </row>
    <row r="190" ht="51.75" spans="1:7">
      <c r="A190" s="191" t="s">
        <v>233</v>
      </c>
      <c r="B190" s="223">
        <v>1.79</v>
      </c>
      <c r="C190" s="116"/>
      <c r="D190" s="193"/>
      <c r="E190" s="229">
        <v>2.912</v>
      </c>
      <c r="F190" s="230">
        <v>2.912</v>
      </c>
      <c r="G190" s="231">
        <v>2.36633333333333</v>
      </c>
    </row>
    <row r="191" ht="51.75" spans="1:7">
      <c r="A191" s="197" t="s">
        <v>224</v>
      </c>
      <c r="B191" s="224">
        <v>5.71</v>
      </c>
      <c r="C191" s="116"/>
      <c r="D191" s="199"/>
      <c r="E191" s="232"/>
      <c r="F191" s="232"/>
      <c r="G191" s="233"/>
    </row>
    <row r="192" ht="77.25" spans="1:7">
      <c r="A192" s="202" t="s">
        <v>225</v>
      </c>
      <c r="B192" s="225">
        <v>1.07</v>
      </c>
      <c r="C192" s="116"/>
      <c r="D192" s="184"/>
      <c r="E192" s="234">
        <v>1.7472</v>
      </c>
      <c r="F192" s="234">
        <v>1.7472</v>
      </c>
      <c r="G192" s="235">
        <v>1.4198</v>
      </c>
    </row>
    <row r="193" ht="15.75"/>
    <row r="194" ht="51.75" spans="1:2">
      <c r="A194" s="205" t="s">
        <v>224</v>
      </c>
      <c r="B194" s="166">
        <f>B191</f>
        <v>5.71</v>
      </c>
    </row>
    <row r="195" spans="1:3">
      <c r="A195" s="542" t="s">
        <v>226</v>
      </c>
      <c r="B195" s="236">
        <f>AVERAGE(B143:B182)</f>
        <v>2.912</v>
      </c>
      <c r="C195" s="95"/>
    </row>
    <row r="196" spans="1:3">
      <c r="A196" s="543" t="s">
        <v>227</v>
      </c>
      <c r="B196" s="237">
        <f>AVERAGE(B148:B177)</f>
        <v>2.36633333333333</v>
      </c>
      <c r="C196" s="96"/>
    </row>
    <row r="197" ht="15.75" spans="1:3">
      <c r="A197" s="544" t="s">
        <v>228</v>
      </c>
      <c r="B197" s="238">
        <f>AVERAGE(B154:B172)</f>
        <v>2.17368421052632</v>
      </c>
      <c r="C197" s="96"/>
    </row>
    <row r="199" ht="15.75"/>
    <row r="200" customHeight="1" spans="1:7">
      <c r="A200" s="155" t="s">
        <v>165</v>
      </c>
      <c r="B200" s="156" t="s">
        <v>234</v>
      </c>
      <c r="C200" s="157"/>
      <c r="D200" s="158"/>
      <c r="E200" s="159">
        <f>(1-E255)^(1/3)-1</f>
        <v>-0.0286478963007344</v>
      </c>
      <c r="F200" s="160">
        <f>(1-F255)^(1/3)-1</f>
        <v>-0.0286478963007344</v>
      </c>
      <c r="G200" s="161"/>
    </row>
    <row r="201" ht="77.25" spans="1:7">
      <c r="A201" s="162"/>
      <c r="B201" s="130" t="s">
        <v>167</v>
      </c>
      <c r="C201" s="83"/>
      <c r="D201" s="130" t="s">
        <v>168</v>
      </c>
      <c r="E201" s="130" t="s">
        <v>169</v>
      </c>
      <c r="F201" s="130" t="s">
        <v>169</v>
      </c>
      <c r="G201" s="130"/>
    </row>
    <row r="202" ht="26.25" spans="1:7">
      <c r="A202" s="163"/>
      <c r="B202" s="164" t="s">
        <v>235</v>
      </c>
      <c r="C202" s="83"/>
      <c r="D202" s="164" t="s">
        <v>171</v>
      </c>
      <c r="E202" s="538" t="s">
        <v>401</v>
      </c>
      <c r="F202" s="539" t="s">
        <v>402</v>
      </c>
      <c r="G202" s="166"/>
    </row>
    <row r="203" ht="15.75" spans="1:7">
      <c r="A203" s="167">
        <v>1</v>
      </c>
      <c r="B203" s="212">
        <v>2</v>
      </c>
      <c r="C203" s="76"/>
      <c r="D203" s="131">
        <v>3</v>
      </c>
      <c r="E203" s="169">
        <v>4</v>
      </c>
      <c r="F203" s="131">
        <v>5</v>
      </c>
      <c r="G203" s="169"/>
    </row>
    <row r="204" spans="1:7">
      <c r="A204" s="545" t="s">
        <v>172</v>
      </c>
      <c r="B204" s="214">
        <v>1.1</v>
      </c>
      <c r="C204" s="89">
        <v>0</v>
      </c>
      <c r="D204" s="174">
        <v>0</v>
      </c>
      <c r="E204" s="175">
        <v>0</v>
      </c>
      <c r="F204" s="175">
        <v>0</v>
      </c>
      <c r="G204" s="176">
        <v>0</v>
      </c>
    </row>
    <row r="205" spans="1:7">
      <c r="A205" s="546" t="s">
        <v>173</v>
      </c>
      <c r="B205" s="216">
        <v>1.3</v>
      </c>
      <c r="C205" s="79">
        <f>B204</f>
        <v>1.1</v>
      </c>
      <c r="D205" s="174">
        <v>0</v>
      </c>
      <c r="E205" s="179">
        <v>0</v>
      </c>
      <c r="F205" s="179">
        <v>0</v>
      </c>
      <c r="G205" s="180">
        <v>0</v>
      </c>
    </row>
    <row r="206" spans="1:7">
      <c r="A206" s="546" t="s">
        <v>174</v>
      </c>
      <c r="B206" s="216">
        <v>1.5</v>
      </c>
      <c r="C206" s="79">
        <f t="shared" ref="C206:C254" si="3">B205</f>
        <v>1.3</v>
      </c>
      <c r="D206" s="174">
        <v>0</v>
      </c>
      <c r="E206" s="179">
        <v>0</v>
      </c>
      <c r="F206" s="179">
        <v>0</v>
      </c>
      <c r="G206" s="180">
        <v>0</v>
      </c>
    </row>
    <row r="207" spans="1:7">
      <c r="A207" s="546" t="s">
        <v>175</v>
      </c>
      <c r="B207" s="216">
        <v>1.7</v>
      </c>
      <c r="C207" s="79">
        <f t="shared" si="3"/>
        <v>1.5</v>
      </c>
      <c r="D207" s="174">
        <v>0</v>
      </c>
      <c r="E207" s="179">
        <v>0</v>
      </c>
      <c r="F207" s="179">
        <v>0</v>
      </c>
      <c r="G207" s="180">
        <v>0</v>
      </c>
    </row>
    <row r="208" spans="1:7">
      <c r="A208" s="546" t="s">
        <v>176</v>
      </c>
      <c r="B208" s="216">
        <v>2</v>
      </c>
      <c r="C208" s="79">
        <f t="shared" si="3"/>
        <v>1.7</v>
      </c>
      <c r="D208" s="174">
        <v>0</v>
      </c>
      <c r="E208" s="179">
        <v>0</v>
      </c>
      <c r="F208" s="179">
        <v>0</v>
      </c>
      <c r="G208" s="180">
        <v>0</v>
      </c>
    </row>
    <row r="209" spans="1:7">
      <c r="A209" s="546" t="s">
        <v>177</v>
      </c>
      <c r="B209" s="216">
        <v>2.2</v>
      </c>
      <c r="C209" s="79">
        <f t="shared" si="3"/>
        <v>2</v>
      </c>
      <c r="D209" s="174">
        <v>0</v>
      </c>
      <c r="E209" s="179">
        <v>0</v>
      </c>
      <c r="F209" s="179">
        <v>0</v>
      </c>
      <c r="G209" s="180">
        <v>0</v>
      </c>
    </row>
    <row r="210" spans="1:7">
      <c r="A210" s="546" t="s">
        <v>178</v>
      </c>
      <c r="B210" s="216">
        <v>2.4</v>
      </c>
      <c r="C210" s="79">
        <f t="shared" si="3"/>
        <v>2.2</v>
      </c>
      <c r="D210" s="174">
        <v>0</v>
      </c>
      <c r="E210" s="179">
        <v>0</v>
      </c>
      <c r="F210" s="179">
        <v>0</v>
      </c>
      <c r="G210" s="180">
        <v>0</v>
      </c>
    </row>
    <row r="211" spans="1:7">
      <c r="A211" s="215" t="s">
        <v>179</v>
      </c>
      <c r="B211" s="216">
        <v>2.5</v>
      </c>
      <c r="C211" s="79">
        <f t="shared" si="3"/>
        <v>2.4</v>
      </c>
      <c r="D211" s="174">
        <v>0</v>
      </c>
      <c r="E211" s="179">
        <v>0</v>
      </c>
      <c r="F211" s="179">
        <v>0</v>
      </c>
      <c r="G211" s="180">
        <v>0</v>
      </c>
    </row>
    <row r="212" spans="1:7">
      <c r="A212" s="215" t="s">
        <v>180</v>
      </c>
      <c r="B212" s="216">
        <v>2.7</v>
      </c>
      <c r="C212" s="79">
        <f t="shared" si="3"/>
        <v>2.5</v>
      </c>
      <c r="D212" s="174">
        <v>0</v>
      </c>
      <c r="E212" s="179">
        <v>0</v>
      </c>
      <c r="F212" s="179">
        <v>0</v>
      </c>
      <c r="G212" s="180">
        <v>0</v>
      </c>
    </row>
    <row r="213" spans="1:7">
      <c r="A213" s="215" t="s">
        <v>181</v>
      </c>
      <c r="B213" s="216">
        <v>2.9</v>
      </c>
      <c r="C213" s="79">
        <f t="shared" si="3"/>
        <v>2.7</v>
      </c>
      <c r="D213" s="174">
        <v>0</v>
      </c>
      <c r="E213" s="179">
        <v>0</v>
      </c>
      <c r="F213" s="179">
        <v>0</v>
      </c>
      <c r="G213" s="180">
        <v>0</v>
      </c>
    </row>
    <row r="214" spans="1:7">
      <c r="A214" s="215" t="s">
        <v>182</v>
      </c>
      <c r="B214" s="216">
        <v>3</v>
      </c>
      <c r="C214" s="79">
        <f t="shared" si="3"/>
        <v>2.9</v>
      </c>
      <c r="D214" s="174">
        <v>0</v>
      </c>
      <c r="E214" s="179">
        <v>0</v>
      </c>
      <c r="F214" s="179">
        <v>0</v>
      </c>
      <c r="G214" s="180">
        <v>0</v>
      </c>
    </row>
    <row r="215" spans="1:7">
      <c r="A215" s="215" t="s">
        <v>183</v>
      </c>
      <c r="B215" s="216">
        <v>3.2</v>
      </c>
      <c r="C215" s="79">
        <f t="shared" si="3"/>
        <v>3</v>
      </c>
      <c r="D215" s="174">
        <v>0</v>
      </c>
      <c r="E215" s="179">
        <v>0</v>
      </c>
      <c r="F215" s="179">
        <v>0</v>
      </c>
      <c r="G215" s="180">
        <v>0</v>
      </c>
    </row>
    <row r="216" spans="1:7">
      <c r="A216" s="215" t="s">
        <v>184</v>
      </c>
      <c r="B216" s="216">
        <v>3.3</v>
      </c>
      <c r="C216" s="79">
        <f t="shared" si="3"/>
        <v>3.2</v>
      </c>
      <c r="D216" s="174">
        <v>0</v>
      </c>
      <c r="E216" s="179">
        <v>0</v>
      </c>
      <c r="F216" s="179">
        <v>0</v>
      </c>
      <c r="G216" s="180">
        <v>0</v>
      </c>
    </row>
    <row r="217" spans="1:7">
      <c r="A217" s="215" t="s">
        <v>185</v>
      </c>
      <c r="B217" s="216">
        <v>3.5</v>
      </c>
      <c r="C217" s="79">
        <f t="shared" si="3"/>
        <v>3.3</v>
      </c>
      <c r="D217" s="174">
        <v>0</v>
      </c>
      <c r="E217" s="179">
        <v>0</v>
      </c>
      <c r="F217" s="179">
        <v>0</v>
      </c>
      <c r="G217" s="180">
        <v>0.00228571428571428</v>
      </c>
    </row>
    <row r="218" spans="1:7">
      <c r="A218" s="215" t="s">
        <v>186</v>
      </c>
      <c r="B218" s="216">
        <v>3.6</v>
      </c>
      <c r="C218" s="79">
        <f t="shared" si="3"/>
        <v>3.5</v>
      </c>
      <c r="D218" s="174">
        <v>0</v>
      </c>
      <c r="E218" s="179">
        <v>0</v>
      </c>
      <c r="F218" s="179">
        <v>0</v>
      </c>
      <c r="G218" s="180">
        <v>0.00499999999999999</v>
      </c>
    </row>
    <row r="219" spans="1:7">
      <c r="A219" s="215" t="s">
        <v>187</v>
      </c>
      <c r="B219" s="216">
        <v>3.8</v>
      </c>
      <c r="C219" s="79">
        <f t="shared" si="3"/>
        <v>3.6</v>
      </c>
      <c r="D219" s="174">
        <v>0.0171052631578946</v>
      </c>
      <c r="E219" s="179"/>
      <c r="F219" s="179">
        <v>0.00171052631578946</v>
      </c>
      <c r="G219" s="180">
        <v>0.00999999999999999</v>
      </c>
    </row>
    <row r="220" spans="1:7">
      <c r="A220" s="215" t="s">
        <v>188</v>
      </c>
      <c r="B220" s="216">
        <v>4</v>
      </c>
      <c r="C220" s="79">
        <f t="shared" si="3"/>
        <v>3.8</v>
      </c>
      <c r="D220" s="174">
        <v>0.0662499999999999</v>
      </c>
      <c r="E220" s="179"/>
      <c r="F220" s="179">
        <v>0.00662499999999999</v>
      </c>
      <c r="G220" s="180">
        <v>0.0145</v>
      </c>
    </row>
    <row r="221" spans="1:7">
      <c r="A221" s="215" t="s">
        <v>189</v>
      </c>
      <c r="B221" s="216">
        <v>4.2</v>
      </c>
      <c r="C221" s="79">
        <f t="shared" si="3"/>
        <v>4</v>
      </c>
      <c r="D221" s="174">
        <v>0.110714285714286</v>
      </c>
      <c r="E221" s="179">
        <v>0.0110714285714286</v>
      </c>
      <c r="F221" s="179">
        <v>0.0110714285714286</v>
      </c>
      <c r="G221" s="180">
        <v>0.0185714285714286</v>
      </c>
    </row>
    <row r="222" spans="1:7">
      <c r="A222" s="215" t="s">
        <v>190</v>
      </c>
      <c r="B222" s="216">
        <v>4.3</v>
      </c>
      <c r="C222" s="79">
        <f t="shared" si="3"/>
        <v>4.2</v>
      </c>
      <c r="D222" s="174">
        <v>0.131395348837209</v>
      </c>
      <c r="E222" s="179">
        <v>0.0131395348837209</v>
      </c>
      <c r="F222" s="179">
        <v>0.0131395348837209</v>
      </c>
      <c r="G222" s="180">
        <v>0.0204651162790698</v>
      </c>
    </row>
    <row r="223" spans="1:7">
      <c r="A223" s="215" t="s">
        <v>191</v>
      </c>
      <c r="B223" s="216">
        <v>4.5</v>
      </c>
      <c r="C223" s="79">
        <f t="shared" si="3"/>
        <v>4.3</v>
      </c>
      <c r="D223" s="174">
        <v>0.17</v>
      </c>
      <c r="E223" s="179">
        <v>0.017</v>
      </c>
      <c r="F223" s="179">
        <v>0.017</v>
      </c>
      <c r="G223" s="180">
        <v>0.024</v>
      </c>
    </row>
    <row r="224" spans="1:7">
      <c r="A224" s="215" t="s">
        <v>192</v>
      </c>
      <c r="B224" s="216">
        <v>4.6</v>
      </c>
      <c r="C224" s="79">
        <f t="shared" si="3"/>
        <v>4.5</v>
      </c>
      <c r="D224" s="174">
        <v>0.188043478260869</v>
      </c>
      <c r="E224" s="179">
        <v>0.0188043478260869</v>
      </c>
      <c r="F224" s="179">
        <v>0.0188043478260869</v>
      </c>
      <c r="G224" s="180">
        <v>0.0256521739130435</v>
      </c>
    </row>
    <row r="225" spans="1:7">
      <c r="A225" s="215" t="s">
        <v>193</v>
      </c>
      <c r="B225" s="216">
        <v>4.8</v>
      </c>
      <c r="C225" s="79">
        <f t="shared" si="3"/>
        <v>4.6</v>
      </c>
      <c r="D225" s="174">
        <v>0.221875</v>
      </c>
      <c r="E225" s="179">
        <v>0.0221875</v>
      </c>
      <c r="F225" s="179">
        <v>0.0221875</v>
      </c>
      <c r="G225" s="180">
        <v>0.02875</v>
      </c>
    </row>
    <row r="226" spans="1:7">
      <c r="A226" s="215" t="s">
        <v>194</v>
      </c>
      <c r="B226" s="216">
        <v>4.9</v>
      </c>
      <c r="C226" s="79">
        <f t="shared" si="3"/>
        <v>4.8</v>
      </c>
      <c r="D226" s="174">
        <v>0.237755102040816</v>
      </c>
      <c r="E226" s="179">
        <v>0.0237755102040816</v>
      </c>
      <c r="F226" s="179">
        <v>0.0237755102040816</v>
      </c>
      <c r="G226" s="180">
        <v>0.0302040816326531</v>
      </c>
    </row>
    <row r="227" spans="1:7">
      <c r="A227" s="215" t="s">
        <v>195</v>
      </c>
      <c r="B227" s="216">
        <v>5.1</v>
      </c>
      <c r="C227" s="79">
        <f t="shared" si="3"/>
        <v>4.9</v>
      </c>
      <c r="D227" s="174">
        <v>0.267647058823529</v>
      </c>
      <c r="E227" s="179">
        <v>0.0267647058823529</v>
      </c>
      <c r="F227" s="179">
        <v>0.0267647058823529</v>
      </c>
      <c r="G227" s="180">
        <v>0.0329411764705882</v>
      </c>
    </row>
    <row r="228" spans="1:7">
      <c r="A228" s="215" t="s">
        <v>196</v>
      </c>
      <c r="B228" s="216">
        <v>5.2</v>
      </c>
      <c r="C228" s="79">
        <f t="shared" si="3"/>
        <v>5.1</v>
      </c>
      <c r="D228" s="174">
        <v>0.281730769230769</v>
      </c>
      <c r="E228" s="179">
        <v>0.0281730769230769</v>
      </c>
      <c r="F228" s="179">
        <v>0.0281730769230769</v>
      </c>
      <c r="G228" s="180">
        <v>0.0342307692307692</v>
      </c>
    </row>
    <row r="229" spans="1:7">
      <c r="A229" s="215" t="s">
        <v>197</v>
      </c>
      <c r="B229" s="216">
        <v>5.4</v>
      </c>
      <c r="C229" s="79">
        <f t="shared" si="3"/>
        <v>5.2</v>
      </c>
      <c r="D229" s="174">
        <v>0.308333333333333</v>
      </c>
      <c r="E229" s="179">
        <v>0.0308333333333333</v>
      </c>
      <c r="F229" s="179">
        <v>0.0308333333333333</v>
      </c>
      <c r="G229" s="180">
        <v>0.0366666666666667</v>
      </c>
    </row>
    <row r="230" spans="1:7">
      <c r="A230" s="215" t="s">
        <v>198</v>
      </c>
      <c r="B230" s="216">
        <v>5.5</v>
      </c>
      <c r="C230" s="79">
        <f t="shared" si="3"/>
        <v>5.4</v>
      </c>
      <c r="D230" s="174">
        <v>0.320909090909091</v>
      </c>
      <c r="E230" s="179">
        <v>0.0320909090909091</v>
      </c>
      <c r="F230" s="179">
        <v>0.0320909090909091</v>
      </c>
      <c r="G230" s="180">
        <v>0.0378181818181818</v>
      </c>
    </row>
    <row r="231" spans="1:7">
      <c r="A231" s="215" t="s">
        <v>199</v>
      </c>
      <c r="B231" s="216">
        <v>5.8</v>
      </c>
      <c r="C231" s="79">
        <f t="shared" si="3"/>
        <v>5.5</v>
      </c>
      <c r="D231" s="174">
        <v>0.356034482758621</v>
      </c>
      <c r="E231" s="179">
        <v>0.0356034482758621</v>
      </c>
      <c r="F231" s="179">
        <v>0.0356034482758621</v>
      </c>
      <c r="G231" s="180">
        <v>0.0462068965517241</v>
      </c>
    </row>
    <row r="232" spans="1:7">
      <c r="A232" s="215" t="s">
        <v>200</v>
      </c>
      <c r="B232" s="216">
        <v>6</v>
      </c>
      <c r="C232" s="79">
        <f t="shared" si="3"/>
        <v>5.8</v>
      </c>
      <c r="D232" s="174">
        <v>0.3775</v>
      </c>
      <c r="E232" s="179">
        <v>0.03775</v>
      </c>
      <c r="F232" s="179">
        <v>0.03775</v>
      </c>
      <c r="G232" s="180">
        <v>0.0579999999999999</v>
      </c>
    </row>
    <row r="233" spans="1:7">
      <c r="A233" s="215" t="s">
        <v>201</v>
      </c>
      <c r="B233" s="216">
        <v>6.2</v>
      </c>
      <c r="C233" s="79">
        <f t="shared" si="3"/>
        <v>6</v>
      </c>
      <c r="D233" s="174">
        <v>0.39758064516129</v>
      </c>
      <c r="E233" s="179">
        <v>0.039758064516129</v>
      </c>
      <c r="F233" s="179">
        <v>0.039758064516129</v>
      </c>
      <c r="G233" s="180">
        <v>0.0690322580645161</v>
      </c>
    </row>
    <row r="234" spans="1:7">
      <c r="A234" s="215" t="s">
        <v>202</v>
      </c>
      <c r="B234" s="216">
        <v>6.4</v>
      </c>
      <c r="C234" s="79">
        <f t="shared" si="3"/>
        <v>6.2</v>
      </c>
      <c r="D234" s="174">
        <v>0.41640625</v>
      </c>
      <c r="E234" s="179">
        <v>0.04984375</v>
      </c>
      <c r="F234" s="179">
        <v>0.04984375</v>
      </c>
      <c r="G234" s="180">
        <v>0.079375</v>
      </c>
    </row>
    <row r="235" spans="1:7">
      <c r="A235" s="215" t="s">
        <v>203</v>
      </c>
      <c r="B235" s="216">
        <v>6.7</v>
      </c>
      <c r="C235" s="79">
        <f t="shared" si="3"/>
        <v>6.4</v>
      </c>
      <c r="D235" s="174">
        <v>0.442537313432836</v>
      </c>
      <c r="E235" s="179">
        <v>0.0655223880597015</v>
      </c>
      <c r="F235" s="179">
        <v>0.0655223880597015</v>
      </c>
      <c r="G235" s="180">
        <v>0.0937313432835821</v>
      </c>
    </row>
    <row r="236" spans="1:7">
      <c r="A236" s="215" t="s">
        <v>204</v>
      </c>
      <c r="B236" s="216">
        <v>6.9</v>
      </c>
      <c r="C236" s="79">
        <f t="shared" si="3"/>
        <v>6.7</v>
      </c>
      <c r="D236" s="174">
        <v>0.458695652173913</v>
      </c>
      <c r="E236" s="179">
        <v>0.0752173913043478</v>
      </c>
      <c r="F236" s="179">
        <v>0.0752173913043478</v>
      </c>
      <c r="G236" s="180">
        <v>0.102608695652174</v>
      </c>
    </row>
    <row r="237" spans="1:7">
      <c r="A237" s="215" t="s">
        <v>205</v>
      </c>
      <c r="B237" s="216">
        <v>7.3</v>
      </c>
      <c r="C237" s="79">
        <f t="shared" si="3"/>
        <v>6.9</v>
      </c>
      <c r="D237" s="174">
        <v>0.488356164383562</v>
      </c>
      <c r="E237" s="179">
        <v>0.0930136986301369</v>
      </c>
      <c r="F237" s="179">
        <v>0.0930136986301369</v>
      </c>
      <c r="G237" s="180">
        <v>0.118904109589041</v>
      </c>
    </row>
    <row r="238" spans="1:7">
      <c r="A238" s="215" t="s">
        <v>206</v>
      </c>
      <c r="B238" s="216">
        <v>7.7</v>
      </c>
      <c r="C238" s="79">
        <f t="shared" si="3"/>
        <v>7.3</v>
      </c>
      <c r="D238" s="174">
        <v>0.514935064935065</v>
      </c>
      <c r="E238" s="179">
        <v>0.108961038961039</v>
      </c>
      <c r="F238" s="179">
        <v>0.108961038961039</v>
      </c>
      <c r="G238" s="180">
        <v>0.133506493506493</v>
      </c>
    </row>
    <row r="239" spans="1:7">
      <c r="A239" s="215" t="s">
        <v>207</v>
      </c>
      <c r="B239" s="216">
        <v>8</v>
      </c>
      <c r="C239" s="79">
        <f t="shared" si="3"/>
        <v>7.7</v>
      </c>
      <c r="D239" s="174">
        <v>0.533125</v>
      </c>
      <c r="E239" s="179">
        <v>0.119875</v>
      </c>
      <c r="F239" s="179">
        <v>0.119875</v>
      </c>
      <c r="G239" s="180">
        <v>0.1435</v>
      </c>
    </row>
    <row r="240" spans="1:7">
      <c r="A240" s="215" t="s">
        <v>208</v>
      </c>
      <c r="B240" s="216">
        <v>8.5</v>
      </c>
      <c r="C240" s="79">
        <f t="shared" si="3"/>
        <v>8</v>
      </c>
      <c r="D240" s="174">
        <v>0.560588235294118</v>
      </c>
      <c r="E240" s="179">
        <v>0.136352941176471</v>
      </c>
      <c r="F240" s="179">
        <v>0.136352941176471</v>
      </c>
      <c r="G240" s="180">
        <v>0.158588235294118</v>
      </c>
    </row>
    <row r="241" spans="1:7">
      <c r="A241" s="215" t="s">
        <v>209</v>
      </c>
      <c r="B241" s="216">
        <v>9</v>
      </c>
      <c r="C241" s="79">
        <f t="shared" si="3"/>
        <v>8.5</v>
      </c>
      <c r="D241" s="174">
        <v>0.585</v>
      </c>
      <c r="E241" s="179">
        <v>0.151</v>
      </c>
      <c r="F241" s="179">
        <v>0.151</v>
      </c>
      <c r="G241" s="180">
        <v>0.172</v>
      </c>
    </row>
    <row r="242" spans="1:7">
      <c r="A242" s="215" t="s">
        <v>210</v>
      </c>
      <c r="B242" s="216">
        <v>9.5</v>
      </c>
      <c r="C242" s="79">
        <f t="shared" si="3"/>
        <v>9</v>
      </c>
      <c r="D242" s="174">
        <v>0.606842105263158</v>
      </c>
      <c r="E242" s="179">
        <v>0.164105263157895</v>
      </c>
      <c r="F242" s="179">
        <v>0.164105263157895</v>
      </c>
      <c r="G242" s="180">
        <v>0.184</v>
      </c>
    </row>
    <row r="243" spans="1:7">
      <c r="A243" s="215" t="s">
        <v>211</v>
      </c>
      <c r="B243" s="216">
        <v>10.1</v>
      </c>
      <c r="C243" s="79">
        <f t="shared" si="3"/>
        <v>9.5</v>
      </c>
      <c r="D243" s="174">
        <v>0.63019801980198</v>
      </c>
      <c r="E243" s="179">
        <v>0.178118811881188</v>
      </c>
      <c r="F243" s="179">
        <v>0.178118811881188</v>
      </c>
      <c r="G243" s="180">
        <v>0.196831683168317</v>
      </c>
    </row>
    <row r="244" spans="1:7">
      <c r="A244" s="215" t="s">
        <v>212</v>
      </c>
      <c r="B244" s="216">
        <v>10.9</v>
      </c>
      <c r="C244" s="79">
        <f t="shared" si="3"/>
        <v>10.1</v>
      </c>
      <c r="D244" s="174">
        <v>0.657339449541284</v>
      </c>
      <c r="E244" s="179">
        <v>0.194403669724771</v>
      </c>
      <c r="F244" s="179">
        <v>0.194403669724771</v>
      </c>
      <c r="G244" s="180">
        <v>0.211743119266055</v>
      </c>
    </row>
    <row r="245" spans="1:7">
      <c r="A245" s="215" t="s">
        <v>213</v>
      </c>
      <c r="B245" s="216">
        <v>11.9</v>
      </c>
      <c r="C245" s="79">
        <f t="shared" si="3"/>
        <v>10.9</v>
      </c>
      <c r="D245" s="174">
        <v>0.686134453781512</v>
      </c>
      <c r="E245" s="179">
        <v>0.211680672268908</v>
      </c>
      <c r="F245" s="179">
        <v>0.211680672268908</v>
      </c>
      <c r="G245" s="180">
        <v>0.227563025210084</v>
      </c>
    </row>
    <row r="246" spans="1:7">
      <c r="A246" s="215" t="s">
        <v>214</v>
      </c>
      <c r="B246" s="216">
        <v>12.9</v>
      </c>
      <c r="C246" s="79">
        <f t="shared" si="3"/>
        <v>11.9</v>
      </c>
      <c r="D246" s="174">
        <v>0.71046511627907</v>
      </c>
      <c r="E246" s="179">
        <v>0.226279069767442</v>
      </c>
      <c r="F246" s="179">
        <v>0.226279069767442</v>
      </c>
      <c r="G246" s="180">
        <v>0.24093023255814</v>
      </c>
    </row>
    <row r="247" spans="1:7">
      <c r="A247" s="215" t="s">
        <v>215</v>
      </c>
      <c r="B247" s="216">
        <v>14.1</v>
      </c>
      <c r="C247" s="79">
        <f t="shared" si="3"/>
        <v>12.9</v>
      </c>
      <c r="D247" s="174">
        <v>0.735106382978723</v>
      </c>
      <c r="E247" s="179">
        <v>0.241063829787234</v>
      </c>
      <c r="F247" s="179">
        <v>0.241063829787234</v>
      </c>
      <c r="G247" s="180">
        <v>0.254468085106383</v>
      </c>
    </row>
    <row r="248" spans="1:7">
      <c r="A248" s="215" t="s">
        <v>216</v>
      </c>
      <c r="B248" s="216">
        <v>15.5</v>
      </c>
      <c r="C248" s="79">
        <f t="shared" si="3"/>
        <v>14.1</v>
      </c>
      <c r="D248" s="174">
        <v>0.759032258064516</v>
      </c>
      <c r="E248" s="179">
        <v>0.25541935483871</v>
      </c>
      <c r="F248" s="179">
        <v>0.25541935483871</v>
      </c>
      <c r="G248" s="180">
        <v>0.267612903225806</v>
      </c>
    </row>
    <row r="249" spans="1:7">
      <c r="A249" s="215" t="s">
        <v>217</v>
      </c>
      <c r="B249" s="216">
        <v>17.3</v>
      </c>
      <c r="C249" s="79">
        <f t="shared" si="3"/>
        <v>15.5</v>
      </c>
      <c r="D249" s="174">
        <v>0.784104046242775</v>
      </c>
      <c r="E249" s="179">
        <v>0.270462427745665</v>
      </c>
      <c r="F249" s="179">
        <v>0.270462427745665</v>
      </c>
      <c r="G249" s="180">
        <v>0.281387283236994</v>
      </c>
    </row>
    <row r="250" spans="1:7">
      <c r="A250" s="215" t="s">
        <v>218</v>
      </c>
      <c r="B250" s="216">
        <v>20.7</v>
      </c>
      <c r="C250" s="79">
        <f t="shared" si="3"/>
        <v>17.3</v>
      </c>
      <c r="D250" s="174">
        <v>0.819565217391304</v>
      </c>
      <c r="E250" s="179">
        <v>0.291739130434783</v>
      </c>
      <c r="F250" s="179">
        <v>0.291739130434783</v>
      </c>
      <c r="G250" s="180">
        <v>0.300869565217391</v>
      </c>
    </row>
    <row r="251" spans="1:7">
      <c r="A251" s="215" t="s">
        <v>219</v>
      </c>
      <c r="B251" s="216">
        <v>25.9</v>
      </c>
      <c r="C251" s="79">
        <f t="shared" si="3"/>
        <v>20.7</v>
      </c>
      <c r="D251" s="174">
        <v>0.855791505791506</v>
      </c>
      <c r="E251" s="179">
        <v>0.313474903474903</v>
      </c>
      <c r="F251" s="179">
        <v>0.313474903474903</v>
      </c>
      <c r="G251" s="180">
        <v>0.320772200772201</v>
      </c>
    </row>
    <row r="252" spans="1:7">
      <c r="A252" s="215" t="s">
        <v>220</v>
      </c>
      <c r="B252" s="216">
        <v>33.4</v>
      </c>
      <c r="C252" s="79">
        <f t="shared" si="3"/>
        <v>25.9</v>
      </c>
      <c r="D252" s="174">
        <v>0.888173652694611</v>
      </c>
      <c r="E252" s="179">
        <v>0.332904191616766</v>
      </c>
      <c r="F252" s="179">
        <v>0.332904191616766</v>
      </c>
      <c r="G252" s="180">
        <v>0.338562874251497</v>
      </c>
    </row>
    <row r="253" spans="1:7">
      <c r="A253" s="215" t="s">
        <v>221</v>
      </c>
      <c r="B253" s="216">
        <v>45.3</v>
      </c>
      <c r="C253" s="79">
        <f t="shared" si="3"/>
        <v>33.4</v>
      </c>
      <c r="D253" s="174">
        <v>0.917549668874172</v>
      </c>
      <c r="E253" s="179">
        <v>0.350529801324503</v>
      </c>
      <c r="F253" s="179">
        <v>0.350529801324503</v>
      </c>
      <c r="G253" s="180">
        <v>0.354701986754967</v>
      </c>
    </row>
    <row r="254" ht="15.75" spans="1:7">
      <c r="A254" s="217" t="s">
        <v>221</v>
      </c>
      <c r="B254" s="239" t="s">
        <v>423</v>
      </c>
      <c r="C254" s="79">
        <f t="shared" si="3"/>
        <v>45.3</v>
      </c>
      <c r="D254" s="184"/>
      <c r="E254" s="184"/>
      <c r="F254" s="184"/>
      <c r="G254" s="185"/>
    </row>
    <row r="255" ht="15.75" spans="1:7">
      <c r="A255" s="186"/>
      <c r="B255" s="219"/>
      <c r="C255" s="78"/>
      <c r="D255" s="220"/>
      <c r="E255" s="221">
        <v>0.0835050943995447</v>
      </c>
      <c r="F255" s="221">
        <v>0.0835050943995447</v>
      </c>
      <c r="G255" s="222">
        <v>0.0935196259915519</v>
      </c>
    </row>
    <row r="256" ht="51" spans="1:7">
      <c r="A256" s="191" t="s">
        <v>233</v>
      </c>
      <c r="B256" s="192">
        <v>8</v>
      </c>
      <c r="C256" s="78"/>
      <c r="D256" s="193"/>
      <c r="E256" s="194">
        <v>6.225</v>
      </c>
      <c r="F256" s="195">
        <v>6.225</v>
      </c>
      <c r="G256" s="196">
        <v>5.7</v>
      </c>
    </row>
    <row r="257" ht="54" customHeight="1" spans="1:7">
      <c r="A257" s="197" t="s">
        <v>224</v>
      </c>
      <c r="B257" s="198">
        <v>3.6</v>
      </c>
      <c r="C257" s="78"/>
      <c r="D257" s="199"/>
      <c r="E257" s="200"/>
      <c r="F257" s="200"/>
      <c r="G257" s="201"/>
    </row>
    <row r="258" ht="82.5" customHeight="1" spans="1:7">
      <c r="A258" s="202" t="s">
        <v>225</v>
      </c>
      <c r="B258" s="203">
        <v>3.2</v>
      </c>
      <c r="C258" s="78"/>
      <c r="D258" s="184"/>
      <c r="E258" s="183">
        <v>3.735</v>
      </c>
      <c r="F258" s="183">
        <v>3.735</v>
      </c>
      <c r="G258" s="204">
        <v>3.42</v>
      </c>
    </row>
    <row r="259" ht="15.75"/>
    <row r="260" ht="51.75" spans="1:2">
      <c r="A260" s="205" t="s">
        <v>224</v>
      </c>
      <c r="B260" s="166">
        <f>B257</f>
        <v>3.6</v>
      </c>
    </row>
    <row r="261" spans="1:3">
      <c r="A261" s="542" t="s">
        <v>226</v>
      </c>
      <c r="B261" s="207">
        <f>AVERAGE(B209:B248)</f>
        <v>6.225</v>
      </c>
      <c r="C261" s="95"/>
    </row>
    <row r="262" spans="1:3">
      <c r="A262" s="543" t="s">
        <v>227</v>
      </c>
      <c r="B262" s="209">
        <f>AVERAGE(B214:B243)</f>
        <v>5.7</v>
      </c>
      <c r="C262" s="96"/>
    </row>
    <row r="263" ht="15.75" spans="1:3">
      <c r="A263" s="544" t="s">
        <v>228</v>
      </c>
      <c r="B263" s="211">
        <f>AVERAGE(B220:B238)</f>
        <v>5.55263157894737</v>
      </c>
      <c r="C263" s="96"/>
    </row>
    <row r="264" ht="15.75"/>
    <row r="265" customHeight="1" spans="1:7">
      <c r="A265" s="155" t="s">
        <v>165</v>
      </c>
      <c r="B265" s="156" t="s">
        <v>363</v>
      </c>
      <c r="C265" s="157"/>
      <c r="D265" s="158"/>
      <c r="E265" s="159">
        <f>(1-E320)^(1/3)-1</f>
        <v>-0.0238620056335794</v>
      </c>
      <c r="F265" s="160">
        <f>(1-F320)^(1/3)-1</f>
        <v>-0.0238620056335794</v>
      </c>
      <c r="G265" s="161"/>
    </row>
    <row r="266" ht="77.25" spans="1:7">
      <c r="A266" s="162"/>
      <c r="B266" s="130" t="s">
        <v>167</v>
      </c>
      <c r="C266" s="130"/>
      <c r="D266" s="130" t="s">
        <v>168</v>
      </c>
      <c r="E266" s="130" t="s">
        <v>169</v>
      </c>
      <c r="F266" s="130" t="s">
        <v>169</v>
      </c>
      <c r="G266" s="130"/>
    </row>
    <row r="267" ht="26.25" spans="1:7">
      <c r="A267" s="163"/>
      <c r="B267" s="164" t="s">
        <v>364</v>
      </c>
      <c r="C267" s="130"/>
      <c r="D267" s="164" t="s">
        <v>171</v>
      </c>
      <c r="E267" s="538" t="s">
        <v>401</v>
      </c>
      <c r="F267" s="539" t="s">
        <v>402</v>
      </c>
      <c r="G267" s="166"/>
    </row>
    <row r="268" ht="15.75" spans="1:7">
      <c r="A268" s="167">
        <v>1</v>
      </c>
      <c r="B268" s="212">
        <v>2</v>
      </c>
      <c r="D268" s="131">
        <v>3</v>
      </c>
      <c r="E268" s="169">
        <v>4</v>
      </c>
      <c r="F268" s="131">
        <v>5</v>
      </c>
      <c r="G268" s="169"/>
    </row>
    <row r="269" spans="1:7">
      <c r="A269" s="545" t="s">
        <v>172</v>
      </c>
      <c r="B269" s="214">
        <v>17</v>
      </c>
      <c r="C269">
        <v>0</v>
      </c>
      <c r="D269" s="174">
        <v>0</v>
      </c>
      <c r="E269" s="175">
        <v>0</v>
      </c>
      <c r="F269" s="175">
        <v>0</v>
      </c>
      <c r="G269" s="176">
        <v>0</v>
      </c>
    </row>
    <row r="270" spans="1:7">
      <c r="A270" s="546" t="s">
        <v>173</v>
      </c>
      <c r="B270" s="216">
        <v>18.3</v>
      </c>
      <c r="C270" s="79">
        <f>B269</f>
        <v>17</v>
      </c>
      <c r="D270" s="174">
        <v>0</v>
      </c>
      <c r="E270" s="179">
        <v>0</v>
      </c>
      <c r="F270" s="179">
        <v>0</v>
      </c>
      <c r="G270" s="180">
        <v>0</v>
      </c>
    </row>
    <row r="271" spans="1:7">
      <c r="A271" s="546" t="s">
        <v>174</v>
      </c>
      <c r="B271" s="216">
        <v>19.1</v>
      </c>
      <c r="C271" s="79">
        <f t="shared" ref="C271:C319" si="4">B270</f>
        <v>18.3</v>
      </c>
      <c r="D271" s="174">
        <v>0</v>
      </c>
      <c r="E271" s="179">
        <v>0</v>
      </c>
      <c r="F271" s="179">
        <v>0</v>
      </c>
      <c r="G271" s="180">
        <v>0</v>
      </c>
    </row>
    <row r="272" spans="1:7">
      <c r="A272" s="546" t="s">
        <v>175</v>
      </c>
      <c r="B272" s="216">
        <v>19.8</v>
      </c>
      <c r="C272" s="79">
        <f t="shared" si="4"/>
        <v>19.1</v>
      </c>
      <c r="D272" s="174">
        <v>0</v>
      </c>
      <c r="E272" s="179">
        <v>0</v>
      </c>
      <c r="F272" s="179">
        <v>0</v>
      </c>
      <c r="G272" s="180">
        <v>0</v>
      </c>
    </row>
    <row r="273" spans="1:7">
      <c r="A273" s="546" t="s">
        <v>176</v>
      </c>
      <c r="B273" s="216">
        <v>20.6</v>
      </c>
      <c r="C273" s="79">
        <f t="shared" si="4"/>
        <v>19.8</v>
      </c>
      <c r="D273" s="174">
        <v>0</v>
      </c>
      <c r="E273" s="179">
        <v>0</v>
      </c>
      <c r="F273" s="179">
        <v>0</v>
      </c>
      <c r="G273" s="180">
        <v>0</v>
      </c>
    </row>
    <row r="274" spans="1:7">
      <c r="A274" s="546" t="s">
        <v>177</v>
      </c>
      <c r="B274" s="216">
        <v>21.2</v>
      </c>
      <c r="C274" s="79">
        <f t="shared" si="4"/>
        <v>20.6</v>
      </c>
      <c r="D274" s="174">
        <v>0</v>
      </c>
      <c r="E274" s="179">
        <v>0</v>
      </c>
      <c r="F274" s="179">
        <v>0</v>
      </c>
      <c r="G274" s="180">
        <v>0.000320754716981122</v>
      </c>
    </row>
    <row r="275" spans="1:7">
      <c r="A275" s="546" t="s">
        <v>178</v>
      </c>
      <c r="B275" s="216">
        <v>22</v>
      </c>
      <c r="C275" s="79">
        <f t="shared" si="4"/>
        <v>21.2</v>
      </c>
      <c r="D275" s="174">
        <v>0.0192727272727269</v>
      </c>
      <c r="E275" s="179"/>
      <c r="F275" s="179">
        <v>0.00192727272727269</v>
      </c>
      <c r="G275" s="180">
        <v>0.00394545454545454</v>
      </c>
    </row>
    <row r="276" spans="1:7">
      <c r="A276" s="215" t="s">
        <v>179</v>
      </c>
      <c r="B276" s="216">
        <v>22.4</v>
      </c>
      <c r="C276" s="79">
        <f t="shared" si="4"/>
        <v>22</v>
      </c>
      <c r="D276" s="174">
        <v>0.0367857142857139</v>
      </c>
      <c r="E276" s="179"/>
      <c r="F276" s="179">
        <v>0.00367857142857139</v>
      </c>
      <c r="G276" s="180">
        <v>0.00566071428571427</v>
      </c>
    </row>
    <row r="277" spans="1:7">
      <c r="A277" s="215" t="s">
        <v>180</v>
      </c>
      <c r="B277" s="216">
        <v>23.1</v>
      </c>
      <c r="C277" s="79">
        <f t="shared" si="4"/>
        <v>22.4</v>
      </c>
      <c r="D277" s="174">
        <v>0.0659740259740257</v>
      </c>
      <c r="E277" s="179"/>
      <c r="F277" s="179">
        <v>0.00659740259740257</v>
      </c>
      <c r="G277" s="180">
        <v>0.00851948051948052</v>
      </c>
    </row>
    <row r="278" spans="1:7">
      <c r="A278" s="215" t="s">
        <v>181</v>
      </c>
      <c r="B278" s="216">
        <v>24.4</v>
      </c>
      <c r="C278" s="79">
        <f t="shared" si="4"/>
        <v>23.1</v>
      </c>
      <c r="D278" s="174">
        <v>0.115737704918032</v>
      </c>
      <c r="E278" s="179">
        <v>0.0115737704918032</v>
      </c>
      <c r="F278" s="179">
        <v>0.0115737704918032</v>
      </c>
      <c r="G278" s="180">
        <v>0.0133934426229508</v>
      </c>
    </row>
    <row r="279" spans="1:7">
      <c r="A279" s="215" t="s">
        <v>182</v>
      </c>
      <c r="B279" s="216">
        <v>25.2</v>
      </c>
      <c r="C279" s="79">
        <f t="shared" si="4"/>
        <v>24.4</v>
      </c>
      <c r="D279" s="174">
        <v>0.143809523809523</v>
      </c>
      <c r="E279" s="179">
        <v>0.0143809523809523</v>
      </c>
      <c r="F279" s="179">
        <v>0.0143809523809523</v>
      </c>
      <c r="G279" s="180">
        <v>0.0161428571428571</v>
      </c>
    </row>
    <row r="280" spans="1:7">
      <c r="A280" s="215" t="s">
        <v>183</v>
      </c>
      <c r="B280" s="216">
        <v>25.8</v>
      </c>
      <c r="C280" s="79">
        <f t="shared" si="4"/>
        <v>25.2</v>
      </c>
      <c r="D280" s="174">
        <v>0.163720930232558</v>
      </c>
      <c r="E280" s="179">
        <v>0.0163720930232558</v>
      </c>
      <c r="F280" s="179">
        <v>0.0163720930232558</v>
      </c>
      <c r="G280" s="180">
        <v>0.0180930232558139</v>
      </c>
    </row>
    <row r="281" spans="1:7">
      <c r="A281" s="215" t="s">
        <v>184</v>
      </c>
      <c r="B281" s="216">
        <v>26.4</v>
      </c>
      <c r="C281" s="79">
        <f t="shared" si="4"/>
        <v>25.8</v>
      </c>
      <c r="D281" s="174">
        <v>0.182727272727272</v>
      </c>
      <c r="E281" s="179">
        <v>0.0182727272727272</v>
      </c>
      <c r="F281" s="179">
        <v>0.0182727272727272</v>
      </c>
      <c r="G281" s="180">
        <v>0.0199545454545454</v>
      </c>
    </row>
    <row r="282" spans="1:7">
      <c r="A282" s="215" t="s">
        <v>185</v>
      </c>
      <c r="B282" s="216">
        <v>27</v>
      </c>
      <c r="C282" s="79">
        <f t="shared" si="4"/>
        <v>26.4</v>
      </c>
      <c r="D282" s="174">
        <v>0.200888888888889</v>
      </c>
      <c r="E282" s="179">
        <v>0.0200888888888889</v>
      </c>
      <c r="F282" s="179">
        <v>0.0200888888888889</v>
      </c>
      <c r="G282" s="180">
        <v>0.0217333333333333</v>
      </c>
    </row>
    <row r="283" spans="1:7">
      <c r="A283" s="215" t="s">
        <v>186</v>
      </c>
      <c r="B283" s="216">
        <v>27.7</v>
      </c>
      <c r="C283" s="79">
        <f t="shared" si="4"/>
        <v>27</v>
      </c>
      <c r="D283" s="174">
        <v>0.221083032490974</v>
      </c>
      <c r="E283" s="179">
        <v>0.0221083032490974</v>
      </c>
      <c r="F283" s="179">
        <v>0.0221083032490974</v>
      </c>
      <c r="G283" s="180">
        <v>0.0237111913357401</v>
      </c>
    </row>
    <row r="284" spans="1:7">
      <c r="A284" s="215" t="s">
        <v>187</v>
      </c>
      <c r="B284" s="216">
        <v>28.7</v>
      </c>
      <c r="C284" s="79">
        <f t="shared" si="4"/>
        <v>27.7</v>
      </c>
      <c r="D284" s="174">
        <v>0.248222996515679</v>
      </c>
      <c r="E284" s="179">
        <v>0.0248222996515679</v>
      </c>
      <c r="F284" s="179">
        <v>0.0248222996515679</v>
      </c>
      <c r="G284" s="180">
        <v>0.0263693379790941</v>
      </c>
    </row>
    <row r="285" spans="1:7">
      <c r="A285" s="215" t="s">
        <v>188</v>
      </c>
      <c r="B285" s="216">
        <v>29.4</v>
      </c>
      <c r="C285" s="79">
        <f t="shared" si="4"/>
        <v>28.7</v>
      </c>
      <c r="D285" s="174">
        <v>0.266122448979592</v>
      </c>
      <c r="E285" s="179">
        <v>0.0266122448979592</v>
      </c>
      <c r="F285" s="179">
        <v>0.0266122448979592</v>
      </c>
      <c r="G285" s="180">
        <v>0.0281224489795918</v>
      </c>
    </row>
    <row r="286" spans="1:7">
      <c r="A286" s="215" t="s">
        <v>189</v>
      </c>
      <c r="B286" s="216">
        <v>29.9</v>
      </c>
      <c r="C286" s="79">
        <f t="shared" si="4"/>
        <v>29.4</v>
      </c>
      <c r="D286" s="174">
        <v>0.278394648829431</v>
      </c>
      <c r="E286" s="179">
        <v>0.0278394648829431</v>
      </c>
      <c r="F286" s="179">
        <v>0.0278394648829431</v>
      </c>
      <c r="G286" s="180">
        <v>0.0293244147157191</v>
      </c>
    </row>
    <row r="287" spans="1:7">
      <c r="A287" s="215" t="s">
        <v>190</v>
      </c>
      <c r="B287" s="216">
        <v>30.6</v>
      </c>
      <c r="C287" s="79">
        <f t="shared" si="4"/>
        <v>29.9</v>
      </c>
      <c r="D287" s="174">
        <v>0.294901960784314</v>
      </c>
      <c r="E287" s="179">
        <v>0.0294901960784314</v>
      </c>
      <c r="F287" s="179">
        <v>0.0294901960784314</v>
      </c>
      <c r="G287" s="180">
        <v>0.0309411764705882</v>
      </c>
    </row>
    <row r="288" spans="1:7">
      <c r="A288" s="215" t="s">
        <v>191</v>
      </c>
      <c r="B288" s="216">
        <v>31.1</v>
      </c>
      <c r="C288" s="79">
        <f t="shared" si="4"/>
        <v>30.6</v>
      </c>
      <c r="D288" s="174">
        <v>0.306237942122186</v>
      </c>
      <c r="E288" s="179">
        <v>0.0306237942122186</v>
      </c>
      <c r="F288" s="179">
        <v>0.0306237942122186</v>
      </c>
      <c r="G288" s="180">
        <v>0.0320514469453376</v>
      </c>
    </row>
    <row r="289" spans="1:7">
      <c r="A289" s="215" t="s">
        <v>192</v>
      </c>
      <c r="B289" s="216">
        <v>31.8</v>
      </c>
      <c r="C289" s="79">
        <f t="shared" si="4"/>
        <v>31.1</v>
      </c>
      <c r="D289" s="174">
        <v>0.321509433962264</v>
      </c>
      <c r="E289" s="179">
        <v>0.0321509433962264</v>
      </c>
      <c r="F289" s="179">
        <v>0.0321509433962264</v>
      </c>
      <c r="G289" s="180">
        <v>0.0335471698113208</v>
      </c>
    </row>
    <row r="290" spans="1:7">
      <c r="A290" s="215" t="s">
        <v>193</v>
      </c>
      <c r="B290" s="216">
        <v>32.3</v>
      </c>
      <c r="C290" s="79">
        <f t="shared" si="4"/>
        <v>31.8</v>
      </c>
      <c r="D290" s="174">
        <v>0.332012383900929</v>
      </c>
      <c r="E290" s="179">
        <v>0.0332012383900928</v>
      </c>
      <c r="F290" s="179">
        <v>0.0332012383900928</v>
      </c>
      <c r="G290" s="180">
        <v>0.0345758513931888</v>
      </c>
    </row>
    <row r="291" spans="1:7">
      <c r="A291" s="215" t="s">
        <v>194</v>
      </c>
      <c r="B291" s="216">
        <v>32.6</v>
      </c>
      <c r="C291" s="79">
        <f t="shared" si="4"/>
        <v>32.3</v>
      </c>
      <c r="D291" s="174">
        <v>0.338159509202454</v>
      </c>
      <c r="E291" s="179">
        <v>0.0338159509202454</v>
      </c>
      <c r="F291" s="179">
        <v>0.0338159509202454</v>
      </c>
      <c r="G291" s="180">
        <v>0.0351779141104294</v>
      </c>
    </row>
    <row r="292" spans="1:7">
      <c r="A292" s="215" t="s">
        <v>195</v>
      </c>
      <c r="B292" s="216">
        <v>32.9</v>
      </c>
      <c r="C292" s="79">
        <f t="shared" si="4"/>
        <v>32.6</v>
      </c>
      <c r="D292" s="174">
        <v>0.34419452887538</v>
      </c>
      <c r="E292" s="179">
        <v>0.034419452887538</v>
      </c>
      <c r="F292" s="179">
        <v>0.034419452887538</v>
      </c>
      <c r="G292" s="180">
        <v>0.0357689969604863</v>
      </c>
    </row>
    <row r="293" spans="1:7">
      <c r="A293" s="215" t="s">
        <v>196</v>
      </c>
      <c r="B293" s="216">
        <v>33.2</v>
      </c>
      <c r="C293" s="79">
        <f t="shared" si="4"/>
        <v>32.9</v>
      </c>
      <c r="D293" s="174">
        <v>0.350120481927711</v>
      </c>
      <c r="E293" s="179">
        <v>0.0350120481927711</v>
      </c>
      <c r="F293" s="179">
        <v>0.0350120481927711</v>
      </c>
      <c r="G293" s="180">
        <v>0.0363493975903615</v>
      </c>
    </row>
    <row r="294" spans="1:7">
      <c r="A294" s="215" t="s">
        <v>197</v>
      </c>
      <c r="B294" s="216">
        <v>33.5</v>
      </c>
      <c r="C294" s="79">
        <f t="shared" si="4"/>
        <v>33.2</v>
      </c>
      <c r="D294" s="174">
        <v>0.355940298507462</v>
      </c>
      <c r="E294" s="179">
        <v>0.0355940298507462</v>
      </c>
      <c r="F294" s="179">
        <v>0.0355940298507462</v>
      </c>
      <c r="G294" s="180">
        <v>0.0369194029850746</v>
      </c>
    </row>
    <row r="295" spans="1:7">
      <c r="A295" s="215" t="s">
        <v>198</v>
      </c>
      <c r="B295" s="216">
        <v>34.4</v>
      </c>
      <c r="C295" s="79">
        <f t="shared" si="4"/>
        <v>33.5</v>
      </c>
      <c r="D295" s="174">
        <v>0.372790697674418</v>
      </c>
      <c r="E295" s="179">
        <v>0.0372790697674418</v>
      </c>
      <c r="F295" s="179">
        <v>0.0372790697674418</v>
      </c>
      <c r="G295" s="180">
        <v>0.0385697674418605</v>
      </c>
    </row>
    <row r="296" spans="1:7">
      <c r="A296" s="215" t="s">
        <v>199</v>
      </c>
      <c r="B296" s="216">
        <v>35.4</v>
      </c>
      <c r="C296" s="79">
        <f t="shared" si="4"/>
        <v>34.4</v>
      </c>
      <c r="D296" s="174">
        <v>0.390508474576271</v>
      </c>
      <c r="E296" s="179">
        <v>0.0390508474576271</v>
      </c>
      <c r="F296" s="179">
        <v>0.0390508474576271</v>
      </c>
      <c r="G296" s="180">
        <v>0.0418305084745762</v>
      </c>
    </row>
    <row r="297" spans="1:7">
      <c r="A297" s="215" t="s">
        <v>200</v>
      </c>
      <c r="B297" s="216">
        <v>36.5</v>
      </c>
      <c r="C297" s="79">
        <f t="shared" si="4"/>
        <v>35.4</v>
      </c>
      <c r="D297" s="174">
        <v>0.408876712328767</v>
      </c>
      <c r="E297" s="179">
        <v>0.0453260273972601</v>
      </c>
      <c r="F297" s="179">
        <v>0.0453260273972601</v>
      </c>
      <c r="G297" s="180">
        <v>0.0526246575342465</v>
      </c>
    </row>
    <row r="298" spans="1:7">
      <c r="A298" s="215" t="s">
        <v>201</v>
      </c>
      <c r="B298" s="216">
        <v>37.5</v>
      </c>
      <c r="C298" s="79">
        <f t="shared" si="4"/>
        <v>36.5</v>
      </c>
      <c r="D298" s="174">
        <v>0.42464</v>
      </c>
      <c r="E298" s="179">
        <v>0.0547839999999999</v>
      </c>
      <c r="F298" s="179">
        <v>0.0547839999999999</v>
      </c>
      <c r="G298" s="180">
        <v>0.061888</v>
      </c>
    </row>
    <row r="299" spans="1:7">
      <c r="A299" s="215" t="s">
        <v>202</v>
      </c>
      <c r="B299" s="216">
        <v>38.5</v>
      </c>
      <c r="C299" s="79">
        <f t="shared" si="4"/>
        <v>37.5</v>
      </c>
      <c r="D299" s="174">
        <v>0.439584415584415</v>
      </c>
      <c r="E299" s="179">
        <v>0.0637506493506492</v>
      </c>
      <c r="F299" s="179">
        <v>0.0637506493506492</v>
      </c>
      <c r="G299" s="180">
        <v>0.0706701298701298</v>
      </c>
    </row>
    <row r="300" spans="1:7">
      <c r="A300" s="215" t="s">
        <v>203</v>
      </c>
      <c r="B300" s="216">
        <v>39.6</v>
      </c>
      <c r="C300" s="79">
        <f t="shared" si="4"/>
        <v>38.5</v>
      </c>
      <c r="D300" s="174">
        <v>0.455151515151515</v>
      </c>
      <c r="E300" s="179">
        <v>0.073090909090909</v>
      </c>
      <c r="F300" s="179">
        <v>0.073090909090909</v>
      </c>
      <c r="G300" s="180">
        <v>0.0798181818181818</v>
      </c>
    </row>
    <row r="301" spans="1:7">
      <c r="A301" s="215" t="s">
        <v>204</v>
      </c>
      <c r="B301" s="216">
        <v>40.4</v>
      </c>
      <c r="C301" s="79">
        <f t="shared" si="4"/>
        <v>39.6</v>
      </c>
      <c r="D301" s="174">
        <v>0.465940594059406</v>
      </c>
      <c r="E301" s="179">
        <v>0.0795643564356434</v>
      </c>
      <c r="F301" s="179">
        <v>0.0795643564356434</v>
      </c>
      <c r="G301" s="180">
        <v>0.0861584158415841</v>
      </c>
    </row>
    <row r="302" spans="1:7">
      <c r="A302" s="215" t="s">
        <v>205</v>
      </c>
      <c r="B302" s="216">
        <v>41.7</v>
      </c>
      <c r="C302" s="79">
        <f t="shared" si="4"/>
        <v>40.4</v>
      </c>
      <c r="D302" s="174">
        <v>0.482589928057554</v>
      </c>
      <c r="E302" s="179">
        <v>0.0895539568345323</v>
      </c>
      <c r="F302" s="179">
        <v>0.0895539568345323</v>
      </c>
      <c r="G302" s="180">
        <v>0.0959424460431654</v>
      </c>
    </row>
    <row r="303" spans="1:7">
      <c r="A303" s="215" t="s">
        <v>206</v>
      </c>
      <c r="B303" s="216">
        <v>43</v>
      </c>
      <c r="C303" s="79">
        <f t="shared" si="4"/>
        <v>41.7</v>
      </c>
      <c r="D303" s="174">
        <v>0.498232558139535</v>
      </c>
      <c r="E303" s="179">
        <v>0.0989395348837208</v>
      </c>
      <c r="F303" s="179">
        <v>0.0989395348837208</v>
      </c>
      <c r="G303" s="180">
        <v>0.10513488372093</v>
      </c>
    </row>
    <row r="304" spans="1:7">
      <c r="A304" s="215" t="s">
        <v>207</v>
      </c>
      <c r="B304" s="216">
        <v>44.1</v>
      </c>
      <c r="C304" s="79">
        <f t="shared" si="4"/>
        <v>43</v>
      </c>
      <c r="D304" s="174">
        <v>0.510748299319728</v>
      </c>
      <c r="E304" s="179">
        <v>0.106448979591837</v>
      </c>
      <c r="F304" s="179">
        <v>0.106448979591837</v>
      </c>
      <c r="G304" s="180">
        <v>0.112489795918367</v>
      </c>
    </row>
    <row r="305" spans="1:7">
      <c r="A305" s="215" t="s">
        <v>208</v>
      </c>
      <c r="B305" s="216">
        <v>45.2</v>
      </c>
      <c r="C305" s="79">
        <f t="shared" si="4"/>
        <v>44.1</v>
      </c>
      <c r="D305" s="174">
        <v>0.522654867256637</v>
      </c>
      <c r="E305" s="179">
        <v>0.113592920353982</v>
      </c>
      <c r="F305" s="179">
        <v>0.113592920353982</v>
      </c>
      <c r="G305" s="180">
        <v>0.119486725663717</v>
      </c>
    </row>
    <row r="306" spans="1:7">
      <c r="A306" s="215" t="s">
        <v>209</v>
      </c>
      <c r="B306" s="216">
        <v>46.4</v>
      </c>
      <c r="C306" s="79">
        <f t="shared" si="4"/>
        <v>45.2</v>
      </c>
      <c r="D306" s="174">
        <v>0.535</v>
      </c>
      <c r="E306" s="179">
        <v>0.121</v>
      </c>
      <c r="F306" s="179">
        <v>0.121</v>
      </c>
      <c r="G306" s="180">
        <v>0.126741379310345</v>
      </c>
    </row>
    <row r="307" spans="1:7">
      <c r="A307" s="215" t="s">
        <v>210</v>
      </c>
      <c r="B307" s="216">
        <v>47.4</v>
      </c>
      <c r="C307" s="79">
        <f t="shared" si="4"/>
        <v>46.4</v>
      </c>
      <c r="D307" s="174">
        <v>0.544810126582278</v>
      </c>
      <c r="E307" s="179">
        <v>0.126886075949367</v>
      </c>
      <c r="F307" s="179">
        <v>0.126886075949367</v>
      </c>
      <c r="G307" s="180">
        <v>0.132506329113924</v>
      </c>
    </row>
    <row r="308" spans="1:7">
      <c r="A308" s="215" t="s">
        <v>211</v>
      </c>
      <c r="B308" s="216">
        <v>48.4</v>
      </c>
      <c r="C308" s="79">
        <f t="shared" si="4"/>
        <v>47.4</v>
      </c>
      <c r="D308" s="174">
        <v>0.554214876033058</v>
      </c>
      <c r="E308" s="179">
        <v>0.132528925619835</v>
      </c>
      <c r="F308" s="179">
        <v>0.132528925619835</v>
      </c>
      <c r="G308" s="180">
        <v>0.13803305785124</v>
      </c>
    </row>
    <row r="309" spans="1:7">
      <c r="A309" s="215" t="s">
        <v>212</v>
      </c>
      <c r="B309" s="216">
        <v>50.4</v>
      </c>
      <c r="C309" s="79">
        <f t="shared" si="4"/>
        <v>48.4</v>
      </c>
      <c r="D309" s="174">
        <v>0.571904761904762</v>
      </c>
      <c r="E309" s="179">
        <v>0.143142857142857</v>
      </c>
      <c r="F309" s="179">
        <v>0.143142857142857</v>
      </c>
      <c r="G309" s="180">
        <v>0.148428571428571</v>
      </c>
    </row>
    <row r="310" spans="1:7">
      <c r="A310" s="215" t="s">
        <v>213</v>
      </c>
      <c r="B310" s="216">
        <v>51.9</v>
      </c>
      <c r="C310" s="79">
        <f t="shared" si="4"/>
        <v>50.4</v>
      </c>
      <c r="D310" s="174">
        <v>0.584277456647399</v>
      </c>
      <c r="E310" s="179">
        <v>0.150566473988439</v>
      </c>
      <c r="F310" s="179">
        <v>0.150566473988439</v>
      </c>
      <c r="G310" s="180">
        <v>0.155699421965318</v>
      </c>
    </row>
    <row r="311" spans="1:7">
      <c r="A311" s="215" t="s">
        <v>214</v>
      </c>
      <c r="B311" s="216">
        <v>53.5</v>
      </c>
      <c r="C311" s="79">
        <f t="shared" si="4"/>
        <v>51.9</v>
      </c>
      <c r="D311" s="174">
        <v>0.596710280373832</v>
      </c>
      <c r="E311" s="179">
        <v>0.158026168224299</v>
      </c>
      <c r="F311" s="179">
        <v>0.158026168224299</v>
      </c>
      <c r="G311" s="180">
        <v>0.163005607476635</v>
      </c>
    </row>
    <row r="312" spans="1:7">
      <c r="A312" s="215" t="s">
        <v>215</v>
      </c>
      <c r="B312" s="216">
        <v>55.9</v>
      </c>
      <c r="C312" s="79">
        <f t="shared" si="4"/>
        <v>53.5</v>
      </c>
      <c r="D312" s="174">
        <v>0.614025044722719</v>
      </c>
      <c r="E312" s="179">
        <v>0.168415026833631</v>
      </c>
      <c r="F312" s="179">
        <v>0.168415026833631</v>
      </c>
      <c r="G312" s="180">
        <v>0.173180679785331</v>
      </c>
    </row>
    <row r="313" spans="1:7">
      <c r="A313" s="215" t="s">
        <v>216</v>
      </c>
      <c r="B313" s="216">
        <v>57</v>
      </c>
      <c r="C313" s="79">
        <f t="shared" si="4"/>
        <v>55.9</v>
      </c>
      <c r="D313" s="174">
        <v>0.621473684210526</v>
      </c>
      <c r="E313" s="179">
        <v>0.172884210526316</v>
      </c>
      <c r="F313" s="179">
        <v>0.172884210526316</v>
      </c>
      <c r="G313" s="180">
        <v>0.177557894736842</v>
      </c>
    </row>
    <row r="314" spans="1:7">
      <c r="A314" s="215" t="s">
        <v>217</v>
      </c>
      <c r="B314" s="216">
        <v>59.3</v>
      </c>
      <c r="C314" s="79">
        <f t="shared" si="4"/>
        <v>57</v>
      </c>
      <c r="D314" s="174">
        <v>0.636155143338954</v>
      </c>
      <c r="E314" s="179">
        <v>0.181693086003373</v>
      </c>
      <c r="F314" s="179">
        <v>0.181693086003373</v>
      </c>
      <c r="G314" s="180">
        <v>0.186185497470489</v>
      </c>
    </row>
    <row r="315" spans="1:7">
      <c r="A315" s="215" t="s">
        <v>218</v>
      </c>
      <c r="B315" s="216">
        <v>64.5</v>
      </c>
      <c r="C315" s="79">
        <f t="shared" si="4"/>
        <v>59.3</v>
      </c>
      <c r="D315" s="174">
        <v>0.665488372093023</v>
      </c>
      <c r="E315" s="179">
        <v>0.199293023255814</v>
      </c>
      <c r="F315" s="179">
        <v>0.199293023255814</v>
      </c>
      <c r="G315" s="180">
        <v>0.203423255813953</v>
      </c>
    </row>
    <row r="316" spans="1:7">
      <c r="A316" s="215" t="s">
        <v>219</v>
      </c>
      <c r="B316" s="216">
        <v>68.3</v>
      </c>
      <c r="C316" s="79">
        <f t="shared" si="4"/>
        <v>64.5</v>
      </c>
      <c r="D316" s="174">
        <v>0.684099560761347</v>
      </c>
      <c r="E316" s="179">
        <v>0.210459736456808</v>
      </c>
      <c r="F316" s="179">
        <v>0.210459736456808</v>
      </c>
      <c r="G316" s="180">
        <v>0.214360175695461</v>
      </c>
    </row>
    <row r="317" spans="1:7">
      <c r="A317" s="215" t="s">
        <v>220</v>
      </c>
      <c r="B317" s="216">
        <v>72.3</v>
      </c>
      <c r="C317" s="79">
        <f t="shared" si="4"/>
        <v>68.3</v>
      </c>
      <c r="D317" s="174">
        <v>0.701576763485477</v>
      </c>
      <c r="E317" s="179">
        <v>0.220946058091286</v>
      </c>
      <c r="F317" s="179">
        <v>0.220946058091286</v>
      </c>
      <c r="G317" s="180">
        <v>0.224630705394191</v>
      </c>
    </row>
    <row r="318" spans="1:7">
      <c r="A318" s="215" t="s">
        <v>221</v>
      </c>
      <c r="B318" s="216">
        <v>85.6</v>
      </c>
      <c r="C318" s="79">
        <f t="shared" si="4"/>
        <v>72.3</v>
      </c>
      <c r="D318" s="174">
        <v>0.747943925233645</v>
      </c>
      <c r="E318" s="179">
        <v>0.248766355140187</v>
      </c>
      <c r="F318" s="179">
        <v>0.248766355140187</v>
      </c>
      <c r="G318" s="180">
        <v>0.251878504672897</v>
      </c>
    </row>
    <row r="319" ht="15.75" spans="1:7">
      <c r="A319" s="217" t="s">
        <v>221</v>
      </c>
      <c r="B319" s="218" t="s">
        <v>424</v>
      </c>
      <c r="C319" s="79">
        <f t="shared" si="4"/>
        <v>85.6</v>
      </c>
      <c r="D319" s="184"/>
      <c r="E319" s="184"/>
      <c r="F319" s="184"/>
      <c r="G319" s="185"/>
    </row>
    <row r="320" ht="15.75" spans="1:7">
      <c r="A320" s="186"/>
      <c r="B320" s="219"/>
      <c r="C320" s="79"/>
      <c r="D320" s="220"/>
      <c r="E320" s="221">
        <v>0.0698914178763305</v>
      </c>
      <c r="F320" s="221">
        <v>0.0698914178763305</v>
      </c>
      <c r="G320" s="222">
        <v>0.0730173389639204</v>
      </c>
    </row>
    <row r="321" ht="51" spans="1:7">
      <c r="A321" s="191" t="s">
        <v>233</v>
      </c>
      <c r="B321" s="192"/>
      <c r="D321" s="193"/>
      <c r="E321" s="194">
        <v>35.96</v>
      </c>
      <c r="F321" s="195">
        <v>35.96</v>
      </c>
      <c r="G321" s="196">
        <v>35.22</v>
      </c>
    </row>
    <row r="322" ht="53.25" customHeight="1" spans="1:7">
      <c r="A322" s="197" t="s">
        <v>224</v>
      </c>
      <c r="B322" s="198">
        <v>37.6</v>
      </c>
      <c r="D322" s="199"/>
      <c r="E322" s="200"/>
      <c r="F322" s="200"/>
      <c r="G322" s="201"/>
    </row>
    <row r="323" ht="78" customHeight="1" spans="1:7">
      <c r="A323" s="202" t="s">
        <v>225</v>
      </c>
      <c r="B323" s="203">
        <v>22.6</v>
      </c>
      <c r="D323" s="184"/>
      <c r="E323" s="183">
        <v>21.576</v>
      </c>
      <c r="F323" s="183">
        <v>21.576</v>
      </c>
      <c r="G323" s="204">
        <v>21.132</v>
      </c>
    </row>
    <row r="324" ht="15.75"/>
    <row r="325" ht="51.75" spans="1:2">
      <c r="A325" s="205" t="s">
        <v>224</v>
      </c>
      <c r="B325" s="166">
        <f>B322</f>
        <v>37.6</v>
      </c>
    </row>
    <row r="326" spans="1:2">
      <c r="A326" s="542" t="s">
        <v>226</v>
      </c>
      <c r="B326" s="207">
        <f>AVERAGE(B274:B313)</f>
        <v>35.96</v>
      </c>
    </row>
    <row r="327" spans="1:2">
      <c r="A327" s="543" t="s">
        <v>227</v>
      </c>
      <c r="B327" s="209">
        <f>AVERAGE(B279:B308)</f>
        <v>35.22</v>
      </c>
    </row>
    <row r="328" ht="15.75" spans="1:2">
      <c r="A328" s="544" t="s">
        <v>228</v>
      </c>
      <c r="B328" s="211">
        <f>AVERAGE(B285:B303)</f>
        <v>34.9631578947368</v>
      </c>
    </row>
    <row r="329" ht="15.75"/>
    <row r="330" customHeight="1" spans="1:7">
      <c r="A330" s="155" t="s">
        <v>165</v>
      </c>
      <c r="B330" s="156" t="s">
        <v>37</v>
      </c>
      <c r="C330" s="157"/>
      <c r="D330" s="158"/>
      <c r="E330" s="159" t="e">
        <f>(1-E385)^(1/3)-1</f>
        <v>#DIV/0!</v>
      </c>
      <c r="F330" s="160" t="e">
        <f>(1-F385)^(1/3)-1</f>
        <v>#DIV/0!</v>
      </c>
      <c r="G330" s="161"/>
    </row>
    <row r="331" ht="77.25" spans="1:7">
      <c r="A331" s="162"/>
      <c r="B331" s="130" t="s">
        <v>167</v>
      </c>
      <c r="D331" s="130" t="s">
        <v>168</v>
      </c>
      <c r="E331" s="130" t="s">
        <v>169</v>
      </c>
      <c r="F331" s="130" t="s">
        <v>169</v>
      </c>
      <c r="G331" s="130"/>
    </row>
    <row r="332" ht="26.25" spans="1:7">
      <c r="A332" s="163"/>
      <c r="B332" s="164" t="s">
        <v>407</v>
      </c>
      <c r="D332" s="164" t="s">
        <v>171</v>
      </c>
      <c r="E332" s="538" t="s">
        <v>401</v>
      </c>
      <c r="F332" s="539" t="s">
        <v>402</v>
      </c>
      <c r="G332" s="166"/>
    </row>
    <row r="333" ht="15.75" spans="1:7">
      <c r="A333" s="167">
        <v>1</v>
      </c>
      <c r="B333" s="212">
        <v>2</v>
      </c>
      <c r="C333" s="131"/>
      <c r="D333" s="131">
        <v>3</v>
      </c>
      <c r="E333" s="169">
        <v>4</v>
      </c>
      <c r="F333" s="131">
        <v>5</v>
      </c>
      <c r="G333" s="169"/>
    </row>
    <row r="334" spans="1:7">
      <c r="A334" s="545" t="s">
        <v>172</v>
      </c>
      <c r="B334" s="214"/>
      <c r="D334" s="174">
        <f>IF(B334=0,0,IF(B334&lt;=E$388,0,B334-E$388)/B334)</f>
        <v>0</v>
      </c>
      <c r="E334" s="175"/>
      <c r="F334" s="175"/>
      <c r="G334" s="176"/>
    </row>
    <row r="335" spans="1:7">
      <c r="A335" s="546" t="s">
        <v>173</v>
      </c>
      <c r="B335" s="216"/>
      <c r="D335" s="174">
        <f t="shared" ref="D335:D383" si="5">IF(B335=0,0,IF(B335&lt;=E$388,0,B335-E$388)/B335)</f>
        <v>0</v>
      </c>
      <c r="E335" s="179"/>
      <c r="F335" s="179"/>
      <c r="G335" s="180"/>
    </row>
    <row r="336" ht="15.75" spans="1:7">
      <c r="A336" s="546" t="s">
        <v>174</v>
      </c>
      <c r="B336" s="216"/>
      <c r="C336" s="131"/>
      <c r="D336" s="174">
        <f t="shared" si="5"/>
        <v>0</v>
      </c>
      <c r="E336" s="179"/>
      <c r="F336" s="179"/>
      <c r="G336" s="180"/>
    </row>
    <row r="337" spans="1:7">
      <c r="A337" s="546" t="s">
        <v>175</v>
      </c>
      <c r="B337" s="216"/>
      <c r="C337">
        <v>0</v>
      </c>
      <c r="D337" s="174">
        <f t="shared" si="5"/>
        <v>0</v>
      </c>
      <c r="E337" s="179"/>
      <c r="F337" s="179"/>
      <c r="G337" s="180"/>
    </row>
    <row r="338" spans="1:7">
      <c r="A338" s="546" t="s">
        <v>176</v>
      </c>
      <c r="B338" s="216"/>
      <c r="C338" s="79">
        <f>B337</f>
        <v>0</v>
      </c>
      <c r="D338" s="174">
        <f t="shared" si="5"/>
        <v>0</v>
      </c>
      <c r="E338" s="179"/>
      <c r="F338" s="179"/>
      <c r="G338" s="180"/>
    </row>
    <row r="339" spans="1:7">
      <c r="A339" s="546" t="s">
        <v>177</v>
      </c>
      <c r="B339" s="216"/>
      <c r="C339" s="79">
        <f t="shared" ref="C339:C387" si="6">B338</f>
        <v>0</v>
      </c>
      <c r="D339" s="174">
        <f t="shared" si="5"/>
        <v>0</v>
      </c>
      <c r="E339" s="179"/>
      <c r="F339" s="179"/>
      <c r="G339" s="180"/>
    </row>
    <row r="340" spans="1:7">
      <c r="A340" s="546" t="s">
        <v>178</v>
      </c>
      <c r="B340" s="216"/>
      <c r="C340" s="79">
        <f t="shared" si="6"/>
        <v>0</v>
      </c>
      <c r="D340" s="174">
        <f t="shared" si="5"/>
        <v>0</v>
      </c>
      <c r="E340" s="179"/>
      <c r="F340" s="179"/>
      <c r="G340" s="180"/>
    </row>
    <row r="341" spans="1:7">
      <c r="A341" s="215" t="s">
        <v>179</v>
      </c>
      <c r="B341" s="216"/>
      <c r="C341" s="79">
        <f t="shared" si="6"/>
        <v>0</v>
      </c>
      <c r="D341" s="174">
        <f t="shared" si="5"/>
        <v>0</v>
      </c>
      <c r="E341" s="179"/>
      <c r="F341" s="179"/>
      <c r="G341" s="180"/>
    </row>
    <row r="342" spans="1:7">
      <c r="A342" s="215" t="s">
        <v>180</v>
      </c>
      <c r="B342" s="216"/>
      <c r="C342" s="79">
        <f t="shared" si="6"/>
        <v>0</v>
      </c>
      <c r="D342" s="174">
        <f t="shared" si="5"/>
        <v>0</v>
      </c>
      <c r="E342" s="179"/>
      <c r="F342" s="179"/>
      <c r="G342" s="180"/>
    </row>
    <row r="343" spans="1:7">
      <c r="A343" s="215" t="s">
        <v>181</v>
      </c>
      <c r="B343" s="216"/>
      <c r="C343" s="79">
        <f t="shared" si="6"/>
        <v>0</v>
      </c>
      <c r="D343" s="174">
        <f t="shared" si="5"/>
        <v>0</v>
      </c>
      <c r="E343" s="179"/>
      <c r="F343" s="179"/>
      <c r="G343" s="180"/>
    </row>
    <row r="344" spans="1:7">
      <c r="A344" s="215" t="s">
        <v>182</v>
      </c>
      <c r="B344" s="216"/>
      <c r="C344" s="79">
        <f t="shared" si="6"/>
        <v>0</v>
      </c>
      <c r="D344" s="174">
        <f t="shared" si="5"/>
        <v>0</v>
      </c>
      <c r="E344" s="179"/>
      <c r="F344" s="179"/>
      <c r="G344" s="180"/>
    </row>
    <row r="345" spans="1:7">
      <c r="A345" s="215" t="s">
        <v>183</v>
      </c>
      <c r="B345" s="216"/>
      <c r="C345" s="79">
        <f t="shared" si="6"/>
        <v>0</v>
      </c>
      <c r="D345" s="174">
        <f t="shared" si="5"/>
        <v>0</v>
      </c>
      <c r="E345" s="179"/>
      <c r="F345" s="179"/>
      <c r="G345" s="180"/>
    </row>
    <row r="346" spans="1:7">
      <c r="A346" s="215" t="s">
        <v>184</v>
      </c>
      <c r="B346" s="216"/>
      <c r="C346" s="79">
        <f t="shared" si="6"/>
        <v>0</v>
      </c>
      <c r="D346" s="174">
        <f t="shared" si="5"/>
        <v>0</v>
      </c>
      <c r="E346" s="179"/>
      <c r="F346" s="179"/>
      <c r="G346" s="180"/>
    </row>
    <row r="347" spans="1:7">
      <c r="A347" s="215" t="s">
        <v>185</v>
      </c>
      <c r="B347" s="216"/>
      <c r="C347" s="79">
        <f t="shared" si="6"/>
        <v>0</v>
      </c>
      <c r="D347" s="174">
        <f t="shared" si="5"/>
        <v>0</v>
      </c>
      <c r="E347" s="179"/>
      <c r="F347" s="179"/>
      <c r="G347" s="180"/>
    </row>
    <row r="348" spans="1:7">
      <c r="A348" s="215" t="s">
        <v>186</v>
      </c>
      <c r="B348" s="216"/>
      <c r="C348" s="79">
        <f t="shared" si="6"/>
        <v>0</v>
      </c>
      <c r="D348" s="174">
        <f t="shared" si="5"/>
        <v>0</v>
      </c>
      <c r="E348" s="179"/>
      <c r="F348" s="179"/>
      <c r="G348" s="180"/>
    </row>
    <row r="349" spans="1:7">
      <c r="A349" s="215" t="s">
        <v>187</v>
      </c>
      <c r="B349" s="216"/>
      <c r="C349" s="79">
        <f t="shared" si="6"/>
        <v>0</v>
      </c>
      <c r="D349" s="174">
        <f t="shared" si="5"/>
        <v>0</v>
      </c>
      <c r="E349" s="179"/>
      <c r="F349" s="179"/>
      <c r="G349" s="180"/>
    </row>
    <row r="350" spans="1:7">
      <c r="A350" s="215" t="s">
        <v>188</v>
      </c>
      <c r="B350" s="216"/>
      <c r="C350" s="79">
        <f t="shared" si="6"/>
        <v>0</v>
      </c>
      <c r="D350" s="174">
        <f t="shared" si="5"/>
        <v>0</v>
      </c>
      <c r="E350" s="179"/>
      <c r="F350" s="179"/>
      <c r="G350" s="180"/>
    </row>
    <row r="351" spans="1:7">
      <c r="A351" s="215" t="s">
        <v>189</v>
      </c>
      <c r="B351" s="216"/>
      <c r="C351" s="79">
        <f t="shared" si="6"/>
        <v>0</v>
      </c>
      <c r="D351" s="174">
        <f t="shared" si="5"/>
        <v>0</v>
      </c>
      <c r="E351" s="179"/>
      <c r="F351" s="179"/>
      <c r="G351" s="180"/>
    </row>
    <row r="352" spans="1:7">
      <c r="A352" s="215" t="s">
        <v>190</v>
      </c>
      <c r="B352" s="216"/>
      <c r="C352" s="79">
        <f t="shared" si="6"/>
        <v>0</v>
      </c>
      <c r="D352" s="174">
        <f t="shared" si="5"/>
        <v>0</v>
      </c>
      <c r="E352" s="179"/>
      <c r="F352" s="179"/>
      <c r="G352" s="180"/>
    </row>
    <row r="353" spans="1:7">
      <c r="A353" s="215" t="s">
        <v>191</v>
      </c>
      <c r="B353" s="216"/>
      <c r="C353" s="79">
        <f t="shared" si="6"/>
        <v>0</v>
      </c>
      <c r="D353" s="174">
        <f t="shared" si="5"/>
        <v>0</v>
      </c>
      <c r="E353" s="179"/>
      <c r="F353" s="179"/>
      <c r="G353" s="180"/>
    </row>
    <row r="354" spans="1:7">
      <c r="A354" s="215" t="s">
        <v>192</v>
      </c>
      <c r="B354" s="216"/>
      <c r="C354" s="79">
        <f t="shared" si="6"/>
        <v>0</v>
      </c>
      <c r="D354" s="174">
        <f t="shared" si="5"/>
        <v>0</v>
      </c>
      <c r="E354" s="179"/>
      <c r="F354" s="179"/>
      <c r="G354" s="180"/>
    </row>
    <row r="355" spans="1:7">
      <c r="A355" s="215" t="s">
        <v>193</v>
      </c>
      <c r="B355" s="216"/>
      <c r="C355" s="79">
        <f t="shared" si="6"/>
        <v>0</v>
      </c>
      <c r="D355" s="174">
        <f t="shared" si="5"/>
        <v>0</v>
      </c>
      <c r="E355" s="179"/>
      <c r="F355" s="179"/>
      <c r="G355" s="180"/>
    </row>
    <row r="356" spans="1:7">
      <c r="A356" s="215" t="s">
        <v>194</v>
      </c>
      <c r="B356" s="216"/>
      <c r="C356" s="79">
        <f t="shared" si="6"/>
        <v>0</v>
      </c>
      <c r="D356" s="174">
        <f t="shared" si="5"/>
        <v>0</v>
      </c>
      <c r="E356" s="179"/>
      <c r="F356" s="179"/>
      <c r="G356" s="180"/>
    </row>
    <row r="357" spans="1:7">
      <c r="A357" s="215" t="s">
        <v>195</v>
      </c>
      <c r="B357" s="216"/>
      <c r="C357" s="79">
        <f t="shared" si="6"/>
        <v>0</v>
      </c>
      <c r="D357" s="174">
        <f t="shared" si="5"/>
        <v>0</v>
      </c>
      <c r="E357" s="179"/>
      <c r="F357" s="179"/>
      <c r="G357" s="180"/>
    </row>
    <row r="358" spans="1:7">
      <c r="A358" s="215" t="s">
        <v>196</v>
      </c>
      <c r="B358" s="216"/>
      <c r="C358" s="79">
        <f t="shared" si="6"/>
        <v>0</v>
      </c>
      <c r="D358" s="174">
        <f t="shared" si="5"/>
        <v>0</v>
      </c>
      <c r="E358" s="179"/>
      <c r="F358" s="179"/>
      <c r="G358" s="180"/>
    </row>
    <row r="359" spans="1:7">
      <c r="A359" s="215" t="s">
        <v>197</v>
      </c>
      <c r="B359" s="216"/>
      <c r="C359" s="79">
        <f t="shared" si="6"/>
        <v>0</v>
      </c>
      <c r="D359" s="174">
        <f t="shared" si="5"/>
        <v>0</v>
      </c>
      <c r="E359" s="179"/>
      <c r="F359" s="179"/>
      <c r="G359" s="180"/>
    </row>
    <row r="360" spans="1:7">
      <c r="A360" s="215" t="s">
        <v>198</v>
      </c>
      <c r="B360" s="216"/>
      <c r="C360" s="79">
        <f t="shared" si="6"/>
        <v>0</v>
      </c>
      <c r="D360" s="174">
        <f t="shared" si="5"/>
        <v>0</v>
      </c>
      <c r="E360" s="179"/>
      <c r="F360" s="179"/>
      <c r="G360" s="180"/>
    </row>
    <row r="361" spans="1:7">
      <c r="A361" s="215" t="s">
        <v>199</v>
      </c>
      <c r="B361" s="216"/>
      <c r="C361" s="79">
        <f t="shared" si="6"/>
        <v>0</v>
      </c>
      <c r="D361" s="174">
        <f t="shared" si="5"/>
        <v>0</v>
      </c>
      <c r="E361" s="179"/>
      <c r="F361" s="179"/>
      <c r="G361" s="180"/>
    </row>
    <row r="362" spans="1:7">
      <c r="A362" s="215" t="s">
        <v>200</v>
      </c>
      <c r="B362" s="216"/>
      <c r="C362" s="79">
        <f t="shared" si="6"/>
        <v>0</v>
      </c>
      <c r="D362" s="174">
        <f t="shared" si="5"/>
        <v>0</v>
      </c>
      <c r="E362" s="179"/>
      <c r="F362" s="179"/>
      <c r="G362" s="180"/>
    </row>
    <row r="363" spans="1:7">
      <c r="A363" s="215" t="s">
        <v>201</v>
      </c>
      <c r="B363" s="216"/>
      <c r="C363" s="79">
        <f t="shared" si="6"/>
        <v>0</v>
      </c>
      <c r="D363" s="174">
        <f t="shared" si="5"/>
        <v>0</v>
      </c>
      <c r="E363" s="179"/>
      <c r="F363" s="179"/>
      <c r="G363" s="180"/>
    </row>
    <row r="364" spans="1:7">
      <c r="A364" s="215" t="s">
        <v>202</v>
      </c>
      <c r="B364" s="216"/>
      <c r="C364" s="79">
        <f t="shared" si="6"/>
        <v>0</v>
      </c>
      <c r="D364" s="174">
        <f t="shared" si="5"/>
        <v>0</v>
      </c>
      <c r="E364" s="179"/>
      <c r="F364" s="179"/>
      <c r="G364" s="180"/>
    </row>
    <row r="365" spans="1:7">
      <c r="A365" s="215" t="s">
        <v>203</v>
      </c>
      <c r="B365" s="216"/>
      <c r="C365" s="79">
        <f t="shared" si="6"/>
        <v>0</v>
      </c>
      <c r="D365" s="174">
        <f t="shared" si="5"/>
        <v>0</v>
      </c>
      <c r="E365" s="179"/>
      <c r="F365" s="179"/>
      <c r="G365" s="180"/>
    </row>
    <row r="366" spans="1:7">
      <c r="A366" s="215" t="s">
        <v>204</v>
      </c>
      <c r="B366" s="216"/>
      <c r="C366" s="79">
        <f t="shared" si="6"/>
        <v>0</v>
      </c>
      <c r="D366" s="174">
        <f t="shared" si="5"/>
        <v>0</v>
      </c>
      <c r="E366" s="179"/>
      <c r="F366" s="179"/>
      <c r="G366" s="180"/>
    </row>
    <row r="367" spans="1:7">
      <c r="A367" s="215" t="s">
        <v>205</v>
      </c>
      <c r="B367" s="216"/>
      <c r="C367" s="79">
        <f t="shared" si="6"/>
        <v>0</v>
      </c>
      <c r="D367" s="174">
        <f t="shared" si="5"/>
        <v>0</v>
      </c>
      <c r="E367" s="179"/>
      <c r="F367" s="179"/>
      <c r="G367" s="180"/>
    </row>
    <row r="368" spans="1:7">
      <c r="A368" s="215" t="s">
        <v>206</v>
      </c>
      <c r="B368" s="216"/>
      <c r="C368" s="79">
        <f t="shared" si="6"/>
        <v>0</v>
      </c>
      <c r="D368" s="174">
        <f t="shared" si="5"/>
        <v>0</v>
      </c>
      <c r="E368" s="179"/>
      <c r="F368" s="179"/>
      <c r="G368" s="180"/>
    </row>
    <row r="369" spans="1:7">
      <c r="A369" s="215" t="s">
        <v>207</v>
      </c>
      <c r="B369" s="216"/>
      <c r="C369" s="79">
        <f t="shared" si="6"/>
        <v>0</v>
      </c>
      <c r="D369" s="174">
        <f t="shared" si="5"/>
        <v>0</v>
      </c>
      <c r="E369" s="179"/>
      <c r="F369" s="179"/>
      <c r="G369" s="180"/>
    </row>
    <row r="370" spans="1:7">
      <c r="A370" s="215" t="s">
        <v>208</v>
      </c>
      <c r="B370" s="216"/>
      <c r="C370" s="79">
        <f t="shared" si="6"/>
        <v>0</v>
      </c>
      <c r="D370" s="174">
        <f t="shared" si="5"/>
        <v>0</v>
      </c>
      <c r="E370" s="179"/>
      <c r="F370" s="179"/>
      <c r="G370" s="180"/>
    </row>
    <row r="371" spans="1:7">
      <c r="A371" s="215" t="s">
        <v>209</v>
      </c>
      <c r="B371" s="216"/>
      <c r="C371" s="79">
        <f t="shared" si="6"/>
        <v>0</v>
      </c>
      <c r="D371" s="174">
        <f t="shared" si="5"/>
        <v>0</v>
      </c>
      <c r="E371" s="179"/>
      <c r="F371" s="179"/>
      <c r="G371" s="180"/>
    </row>
    <row r="372" spans="1:7">
      <c r="A372" s="215" t="s">
        <v>210</v>
      </c>
      <c r="B372" s="216"/>
      <c r="C372" s="79">
        <f t="shared" si="6"/>
        <v>0</v>
      </c>
      <c r="D372" s="174">
        <f t="shared" si="5"/>
        <v>0</v>
      </c>
      <c r="E372" s="179"/>
      <c r="F372" s="179"/>
      <c r="G372" s="180"/>
    </row>
    <row r="373" spans="1:7">
      <c r="A373" s="215" t="s">
        <v>211</v>
      </c>
      <c r="B373" s="216"/>
      <c r="C373" s="79">
        <f t="shared" si="6"/>
        <v>0</v>
      </c>
      <c r="D373" s="174">
        <f t="shared" si="5"/>
        <v>0</v>
      </c>
      <c r="E373" s="179"/>
      <c r="F373" s="179"/>
      <c r="G373" s="180"/>
    </row>
    <row r="374" spans="1:7">
      <c r="A374" s="215" t="s">
        <v>212</v>
      </c>
      <c r="B374" s="216"/>
      <c r="C374" s="79">
        <f t="shared" si="6"/>
        <v>0</v>
      </c>
      <c r="D374" s="174">
        <f t="shared" si="5"/>
        <v>0</v>
      </c>
      <c r="E374" s="179"/>
      <c r="F374" s="179"/>
      <c r="G374" s="180"/>
    </row>
    <row r="375" spans="1:7">
      <c r="A375" s="215" t="s">
        <v>213</v>
      </c>
      <c r="B375" s="216"/>
      <c r="C375" s="79">
        <f t="shared" si="6"/>
        <v>0</v>
      </c>
      <c r="D375" s="174">
        <f t="shared" si="5"/>
        <v>0</v>
      </c>
      <c r="E375" s="179"/>
      <c r="F375" s="179"/>
      <c r="G375" s="180"/>
    </row>
    <row r="376" spans="1:7">
      <c r="A376" s="215" t="s">
        <v>214</v>
      </c>
      <c r="B376" s="216"/>
      <c r="C376" s="79">
        <f t="shared" si="6"/>
        <v>0</v>
      </c>
      <c r="D376" s="174">
        <f t="shared" si="5"/>
        <v>0</v>
      </c>
      <c r="E376" s="179"/>
      <c r="F376" s="179"/>
      <c r="G376" s="180"/>
    </row>
    <row r="377" spans="1:7">
      <c r="A377" s="215" t="s">
        <v>215</v>
      </c>
      <c r="B377" s="216"/>
      <c r="C377" s="79">
        <f t="shared" si="6"/>
        <v>0</v>
      </c>
      <c r="D377" s="174">
        <f t="shared" si="5"/>
        <v>0</v>
      </c>
      <c r="E377" s="179"/>
      <c r="F377" s="179"/>
      <c r="G377" s="180"/>
    </row>
    <row r="378" spans="1:7">
      <c r="A378" s="215" t="s">
        <v>216</v>
      </c>
      <c r="B378" s="216"/>
      <c r="C378" s="79">
        <f t="shared" si="6"/>
        <v>0</v>
      </c>
      <c r="D378" s="174">
        <f t="shared" si="5"/>
        <v>0</v>
      </c>
      <c r="E378" s="179"/>
      <c r="F378" s="179"/>
      <c r="G378" s="180"/>
    </row>
    <row r="379" spans="1:7">
      <c r="A379" s="215" t="s">
        <v>217</v>
      </c>
      <c r="B379" s="216"/>
      <c r="C379" s="79">
        <f t="shared" si="6"/>
        <v>0</v>
      </c>
      <c r="D379" s="174">
        <f t="shared" si="5"/>
        <v>0</v>
      </c>
      <c r="E379" s="179"/>
      <c r="F379" s="179"/>
      <c r="G379" s="180"/>
    </row>
    <row r="380" spans="1:7">
      <c r="A380" s="215" t="s">
        <v>218</v>
      </c>
      <c r="B380" s="216"/>
      <c r="C380" s="79">
        <f t="shared" si="6"/>
        <v>0</v>
      </c>
      <c r="D380" s="174">
        <f t="shared" si="5"/>
        <v>0</v>
      </c>
      <c r="E380" s="179"/>
      <c r="F380" s="179"/>
      <c r="G380" s="180"/>
    </row>
    <row r="381" spans="1:7">
      <c r="A381" s="215" t="s">
        <v>219</v>
      </c>
      <c r="B381" s="216"/>
      <c r="C381" s="79">
        <f t="shared" si="6"/>
        <v>0</v>
      </c>
      <c r="D381" s="174">
        <f t="shared" si="5"/>
        <v>0</v>
      </c>
      <c r="E381" s="179"/>
      <c r="F381" s="179"/>
      <c r="G381" s="180"/>
    </row>
    <row r="382" spans="1:7">
      <c r="A382" s="215" t="s">
        <v>220</v>
      </c>
      <c r="B382" s="216"/>
      <c r="C382" s="79">
        <f t="shared" si="6"/>
        <v>0</v>
      </c>
      <c r="D382" s="174">
        <f t="shared" si="5"/>
        <v>0</v>
      </c>
      <c r="E382" s="179"/>
      <c r="F382" s="179"/>
      <c r="G382" s="180"/>
    </row>
    <row r="383" spans="1:7">
      <c r="A383" s="215" t="s">
        <v>221</v>
      </c>
      <c r="B383" s="216"/>
      <c r="C383" s="79">
        <f t="shared" si="6"/>
        <v>0</v>
      </c>
      <c r="D383" s="174">
        <f t="shared" si="5"/>
        <v>0</v>
      </c>
      <c r="E383" s="179"/>
      <c r="F383" s="179"/>
      <c r="G383" s="180"/>
    </row>
    <row r="384" ht="15.75" spans="1:7">
      <c r="A384" s="217" t="s">
        <v>221</v>
      </c>
      <c r="B384" s="239"/>
      <c r="C384" s="79">
        <f t="shared" si="6"/>
        <v>0</v>
      </c>
      <c r="D384" s="184"/>
      <c r="E384" s="184"/>
      <c r="F384" s="184"/>
      <c r="G384" s="185"/>
    </row>
    <row r="385" ht="15.75" spans="1:7">
      <c r="A385" s="186"/>
      <c r="B385" s="219"/>
      <c r="C385" s="79">
        <f t="shared" si="6"/>
        <v>0</v>
      </c>
      <c r="D385" s="220"/>
      <c r="E385" s="221" t="e">
        <f>AVERAGE(E334:E383)</f>
        <v>#DIV/0!</v>
      </c>
      <c r="F385" s="221" t="e">
        <f>AVERAGE(F334:F384)</f>
        <v>#DIV/0!</v>
      </c>
      <c r="G385" s="222"/>
    </row>
    <row r="386" ht="52.5" customHeight="1" spans="1:7">
      <c r="A386" s="191" t="s">
        <v>233</v>
      </c>
      <c r="B386" s="192"/>
      <c r="C386" s="79">
        <f t="shared" si="6"/>
        <v>0</v>
      </c>
      <c r="D386" s="193"/>
      <c r="E386" s="194">
        <f>B387</f>
        <v>0</v>
      </c>
      <c r="F386" s="195" t="e">
        <f>B391</f>
        <v>#DIV/0!</v>
      </c>
      <c r="G386" s="196"/>
    </row>
    <row r="387" ht="54.75" customHeight="1" spans="1:7">
      <c r="A387" s="197" t="s">
        <v>224</v>
      </c>
      <c r="B387" s="198"/>
      <c r="C387" s="79">
        <f t="shared" si="6"/>
        <v>0</v>
      </c>
      <c r="D387" s="199"/>
      <c r="E387" s="200"/>
      <c r="F387" s="200"/>
      <c r="G387" s="201"/>
    </row>
    <row r="388" ht="78" customHeight="1" spans="1:7">
      <c r="A388" s="202" t="s">
        <v>225</v>
      </c>
      <c r="B388" s="203"/>
      <c r="D388" s="184"/>
      <c r="E388" s="183">
        <f>0.6*E386</f>
        <v>0</v>
      </c>
      <c r="F388" s="183" t="e">
        <f>0.6*F386</f>
        <v>#DIV/0!</v>
      </c>
      <c r="G388" s="204"/>
    </row>
    <row r="389" customHeight="1"/>
    <row r="390" ht="51.75" spans="1:2">
      <c r="A390" s="205" t="s">
        <v>224</v>
      </c>
      <c r="B390" s="166">
        <f>B387</f>
        <v>0</v>
      </c>
    </row>
    <row r="391" spans="1:2">
      <c r="A391" s="542" t="s">
        <v>226</v>
      </c>
      <c r="B391" s="207" t="e">
        <f>AVERAGE(B339:B378)</f>
        <v>#DIV/0!</v>
      </c>
    </row>
    <row r="392" spans="1:2">
      <c r="A392" s="543" t="s">
        <v>227</v>
      </c>
      <c r="B392" s="209" t="e">
        <f>AVERAGE(B344:B373)</f>
        <v>#DIV/0!</v>
      </c>
    </row>
    <row r="393" ht="15.75" spans="1:2">
      <c r="A393" s="544" t="s">
        <v>228</v>
      </c>
      <c r="B393" s="211" t="e">
        <f>AVERAGE(B350:B368)</f>
        <v>#DIV/0!</v>
      </c>
    </row>
    <row r="394" ht="15.75"/>
    <row r="395" ht="15.75" customHeight="1" spans="1:7">
      <c r="A395" s="155" t="s">
        <v>165</v>
      </c>
      <c r="B395" s="156" t="s">
        <v>408</v>
      </c>
      <c r="C395" s="157"/>
      <c r="D395" s="158"/>
      <c r="E395" s="159">
        <f>(1-E450)^(1/3)-1</f>
        <v>-0.0245598559651685</v>
      </c>
      <c r="F395" s="160">
        <f>(1-F450)^(1/3)-1</f>
        <v>-0.0285942603988789</v>
      </c>
      <c r="G395" s="161"/>
    </row>
    <row r="396" ht="77.25" spans="1:7">
      <c r="A396" s="162"/>
      <c r="B396" s="130" t="s">
        <v>167</v>
      </c>
      <c r="D396" s="130" t="s">
        <v>168</v>
      </c>
      <c r="E396" s="130" t="s">
        <v>169</v>
      </c>
      <c r="F396" s="130" t="s">
        <v>169</v>
      </c>
      <c r="G396" s="130"/>
    </row>
    <row r="397" ht="15.75" spans="1:7">
      <c r="A397" s="163"/>
      <c r="B397" s="164" t="s">
        <v>409</v>
      </c>
      <c r="D397" s="164" t="s">
        <v>171</v>
      </c>
      <c r="E397" s="538" t="s">
        <v>401</v>
      </c>
      <c r="F397" s="539" t="s">
        <v>402</v>
      </c>
      <c r="G397" s="166"/>
    </row>
    <row r="398" ht="15.75" spans="1:7">
      <c r="A398" s="167">
        <v>1</v>
      </c>
      <c r="B398" s="212">
        <v>2</v>
      </c>
      <c r="D398" s="131">
        <v>3</v>
      </c>
      <c r="E398" s="169">
        <v>4</v>
      </c>
      <c r="F398" s="131">
        <v>5</v>
      </c>
      <c r="G398" s="169"/>
    </row>
    <row r="399" spans="1:7">
      <c r="A399" s="545" t="s">
        <v>172</v>
      </c>
      <c r="B399" s="214">
        <v>9.2</v>
      </c>
      <c r="D399" s="174">
        <f>IF(B399=0,0,IF(B399&lt;=E$453,0,B399-E$453)/B399)</f>
        <v>0</v>
      </c>
      <c r="E399" s="175">
        <f t="shared" ref="E399:F418" si="7">IF($B399&lt;=E$453,0,IF(AND(E$453&lt;$B399,$B399&lt;=E$451),$E$1*($B399-E$453),$E$1*(E$451-E$453)+$F$1*($B399-E$451)))/$B399</f>
        <v>0</v>
      </c>
      <c r="F399" s="175">
        <f t="shared" si="7"/>
        <v>0</v>
      </c>
      <c r="G399" s="176"/>
    </row>
    <row r="400" spans="1:7">
      <c r="A400" s="546" t="s">
        <v>173</v>
      </c>
      <c r="B400" s="216">
        <v>15.5</v>
      </c>
      <c r="D400" s="174">
        <f t="shared" ref="D400:D448" si="8">IF(B400=0,0,IF(B400&lt;=E$453,0,B400-E$453)/B400)</f>
        <v>0</v>
      </c>
      <c r="E400" s="179">
        <f t="shared" si="7"/>
        <v>0</v>
      </c>
      <c r="F400" s="179">
        <f t="shared" si="7"/>
        <v>0</v>
      </c>
      <c r="G400" s="180"/>
    </row>
    <row r="401" spans="1:7">
      <c r="A401" s="546" t="s">
        <v>174</v>
      </c>
      <c r="B401" s="216">
        <v>18.9</v>
      </c>
      <c r="D401" s="174">
        <f t="shared" si="8"/>
        <v>0</v>
      </c>
      <c r="E401" s="179">
        <f t="shared" si="7"/>
        <v>0</v>
      </c>
      <c r="F401" s="179">
        <f t="shared" si="7"/>
        <v>0</v>
      </c>
      <c r="G401" s="180"/>
    </row>
    <row r="402" spans="1:7">
      <c r="A402" s="546" t="s">
        <v>175</v>
      </c>
      <c r="B402" s="216">
        <v>23.4</v>
      </c>
      <c r="C402">
        <v>0</v>
      </c>
      <c r="D402" s="174">
        <f t="shared" si="8"/>
        <v>0</v>
      </c>
      <c r="E402" s="179">
        <f t="shared" si="7"/>
        <v>0</v>
      </c>
      <c r="F402" s="179">
        <f t="shared" si="7"/>
        <v>0</v>
      </c>
      <c r="G402" s="180"/>
    </row>
    <row r="403" spans="1:7">
      <c r="A403" s="546" t="s">
        <v>176</v>
      </c>
      <c r="B403" s="216">
        <v>27.7</v>
      </c>
      <c r="C403" s="79">
        <f>B402</f>
        <v>23.4</v>
      </c>
      <c r="D403" s="174">
        <f t="shared" si="8"/>
        <v>0</v>
      </c>
      <c r="E403" s="179">
        <f t="shared" si="7"/>
        <v>0</v>
      </c>
      <c r="F403" s="179">
        <f t="shared" si="7"/>
        <v>0</v>
      </c>
      <c r="G403" s="180"/>
    </row>
    <row r="404" spans="1:7">
      <c r="A404" s="546" t="s">
        <v>177</v>
      </c>
      <c r="B404" s="216">
        <v>30.1</v>
      </c>
      <c r="C404" s="79">
        <f t="shared" ref="C404:C452" si="9">B403</f>
        <v>27.7</v>
      </c>
      <c r="D404" s="174">
        <f t="shared" si="8"/>
        <v>0</v>
      </c>
      <c r="E404" s="179">
        <f t="shared" si="7"/>
        <v>0</v>
      </c>
      <c r="F404" s="179">
        <f t="shared" si="7"/>
        <v>0</v>
      </c>
      <c r="G404" s="180"/>
    </row>
    <row r="405" spans="1:7">
      <c r="A405" s="546" t="s">
        <v>178</v>
      </c>
      <c r="B405" s="216">
        <v>32.7</v>
      </c>
      <c r="C405" s="79">
        <f t="shared" si="9"/>
        <v>30.1</v>
      </c>
      <c r="D405" s="174">
        <f t="shared" si="8"/>
        <v>0</v>
      </c>
      <c r="E405" s="179">
        <f t="shared" si="7"/>
        <v>0</v>
      </c>
      <c r="F405" s="179">
        <f t="shared" si="7"/>
        <v>0</v>
      </c>
      <c r="G405" s="180"/>
    </row>
    <row r="406" spans="1:7">
      <c r="A406" s="215" t="s">
        <v>179</v>
      </c>
      <c r="B406" s="216">
        <v>35.6</v>
      </c>
      <c r="C406" s="79">
        <f t="shared" si="9"/>
        <v>32.7</v>
      </c>
      <c r="D406" s="174">
        <f t="shared" si="8"/>
        <v>0</v>
      </c>
      <c r="E406" s="179">
        <f t="shared" si="7"/>
        <v>0</v>
      </c>
      <c r="F406" s="179">
        <f t="shared" si="7"/>
        <v>0</v>
      </c>
      <c r="G406" s="180"/>
    </row>
    <row r="407" spans="1:7">
      <c r="A407" s="215" t="s">
        <v>180</v>
      </c>
      <c r="B407" s="216">
        <v>38.4</v>
      </c>
      <c r="C407" s="79">
        <f t="shared" si="9"/>
        <v>35.6</v>
      </c>
      <c r="D407" s="174">
        <f t="shared" si="8"/>
        <v>0</v>
      </c>
      <c r="E407" s="179">
        <f t="shared" si="7"/>
        <v>0</v>
      </c>
      <c r="F407" s="179">
        <f t="shared" si="7"/>
        <v>0</v>
      </c>
      <c r="G407" s="180"/>
    </row>
    <row r="408" spans="1:7">
      <c r="A408" s="215" t="s">
        <v>181</v>
      </c>
      <c r="B408" s="216">
        <v>41</v>
      </c>
      <c r="C408" s="79">
        <f t="shared" si="9"/>
        <v>38.4</v>
      </c>
      <c r="D408" s="174">
        <f t="shared" si="8"/>
        <v>0</v>
      </c>
      <c r="E408" s="179">
        <f t="shared" si="7"/>
        <v>0</v>
      </c>
      <c r="F408" s="179">
        <f t="shared" si="7"/>
        <v>0</v>
      </c>
      <c r="G408" s="180"/>
    </row>
    <row r="409" spans="1:7">
      <c r="A409" s="215" t="s">
        <v>182</v>
      </c>
      <c r="B409" s="216">
        <v>43.1</v>
      </c>
      <c r="C409" s="79">
        <f t="shared" si="9"/>
        <v>41</v>
      </c>
      <c r="D409" s="174">
        <f t="shared" si="8"/>
        <v>0</v>
      </c>
      <c r="E409" s="179">
        <f t="shared" si="7"/>
        <v>0</v>
      </c>
      <c r="F409" s="179">
        <f t="shared" si="7"/>
        <v>0</v>
      </c>
      <c r="G409" s="180"/>
    </row>
    <row r="410" spans="1:7">
      <c r="A410" s="215" t="s">
        <v>183</v>
      </c>
      <c r="B410" s="216">
        <v>45.5</v>
      </c>
      <c r="C410" s="79">
        <f t="shared" si="9"/>
        <v>43.1</v>
      </c>
      <c r="D410" s="174">
        <f t="shared" si="8"/>
        <v>0</v>
      </c>
      <c r="E410" s="179">
        <f t="shared" si="7"/>
        <v>0</v>
      </c>
      <c r="F410" s="179">
        <f t="shared" si="7"/>
        <v>0</v>
      </c>
      <c r="G410" s="180"/>
    </row>
    <row r="411" spans="1:7">
      <c r="A411" s="215" t="s">
        <v>184</v>
      </c>
      <c r="B411" s="216">
        <v>47.3</v>
      </c>
      <c r="C411" s="79">
        <f t="shared" si="9"/>
        <v>45.5</v>
      </c>
      <c r="D411" s="174">
        <f t="shared" si="8"/>
        <v>0</v>
      </c>
      <c r="E411" s="179">
        <f t="shared" si="7"/>
        <v>0</v>
      </c>
      <c r="F411" s="179">
        <f t="shared" si="7"/>
        <v>0</v>
      </c>
      <c r="G411" s="180"/>
    </row>
    <row r="412" spans="1:7">
      <c r="A412" s="215" t="s">
        <v>185</v>
      </c>
      <c r="B412" s="216">
        <v>49.3</v>
      </c>
      <c r="C412" s="79">
        <f t="shared" si="9"/>
        <v>47.3</v>
      </c>
      <c r="D412" s="174">
        <f t="shared" si="8"/>
        <v>0</v>
      </c>
      <c r="E412" s="179">
        <f t="shared" si="7"/>
        <v>0</v>
      </c>
      <c r="F412" s="179">
        <f t="shared" si="7"/>
        <v>0</v>
      </c>
      <c r="G412" s="180"/>
    </row>
    <row r="413" spans="1:7">
      <c r="A413" s="215" t="s">
        <v>186</v>
      </c>
      <c r="B413" s="216">
        <v>51.3</v>
      </c>
      <c r="C413" s="79">
        <f t="shared" si="9"/>
        <v>49.3</v>
      </c>
      <c r="D413" s="174">
        <f t="shared" si="8"/>
        <v>0</v>
      </c>
      <c r="E413" s="179">
        <f t="shared" si="7"/>
        <v>0</v>
      </c>
      <c r="F413" s="179">
        <f t="shared" si="7"/>
        <v>0</v>
      </c>
      <c r="G413" s="180"/>
    </row>
    <row r="414" spans="1:7">
      <c r="A414" s="215" t="s">
        <v>187</v>
      </c>
      <c r="B414" s="216">
        <v>54</v>
      </c>
      <c r="C414" s="79">
        <f t="shared" si="9"/>
        <v>51.3</v>
      </c>
      <c r="D414" s="174">
        <f t="shared" si="8"/>
        <v>0</v>
      </c>
      <c r="E414" s="179">
        <f t="shared" si="7"/>
        <v>0</v>
      </c>
      <c r="F414" s="179">
        <f t="shared" si="7"/>
        <v>0</v>
      </c>
      <c r="G414" s="180"/>
    </row>
    <row r="415" spans="1:7">
      <c r="A415" s="215" t="s">
        <v>188</v>
      </c>
      <c r="B415" s="216">
        <v>56.4</v>
      </c>
      <c r="C415" s="79">
        <f t="shared" si="9"/>
        <v>54</v>
      </c>
      <c r="D415" s="174">
        <f t="shared" si="8"/>
        <v>0</v>
      </c>
      <c r="E415" s="179">
        <f t="shared" si="7"/>
        <v>0</v>
      </c>
      <c r="F415" s="179">
        <f t="shared" si="7"/>
        <v>0.00222872340425532</v>
      </c>
      <c r="G415" s="180"/>
    </row>
    <row r="416" spans="1:7">
      <c r="A416" s="215" t="s">
        <v>189</v>
      </c>
      <c r="B416" s="216">
        <v>59.4</v>
      </c>
      <c r="C416" s="79">
        <f t="shared" si="9"/>
        <v>56.4</v>
      </c>
      <c r="D416" s="174">
        <f t="shared" si="8"/>
        <v>0</v>
      </c>
      <c r="E416" s="179">
        <f t="shared" si="7"/>
        <v>0</v>
      </c>
      <c r="F416" s="179">
        <f t="shared" si="7"/>
        <v>0.00716666666666666</v>
      </c>
      <c r="G416" s="180"/>
    </row>
    <row r="417" spans="1:7">
      <c r="A417" s="215" t="s">
        <v>190</v>
      </c>
      <c r="B417" s="216">
        <v>62.2</v>
      </c>
      <c r="C417" s="79">
        <f t="shared" si="9"/>
        <v>59.4</v>
      </c>
      <c r="D417" s="174">
        <f t="shared" si="8"/>
        <v>0</v>
      </c>
      <c r="E417" s="179">
        <f t="shared" si="7"/>
        <v>0</v>
      </c>
      <c r="F417" s="179">
        <f t="shared" si="7"/>
        <v>0.0113456591639871</v>
      </c>
      <c r="G417" s="180"/>
    </row>
    <row r="418" spans="1:7">
      <c r="A418" s="215" t="s">
        <v>191</v>
      </c>
      <c r="B418" s="216">
        <v>64.7</v>
      </c>
      <c r="C418" s="79">
        <f t="shared" si="9"/>
        <v>62.2</v>
      </c>
      <c r="D418" s="174">
        <f t="shared" si="8"/>
        <v>0.0374034003091191</v>
      </c>
      <c r="E418" s="179"/>
      <c r="F418" s="179">
        <f t="shared" si="7"/>
        <v>0.0147712519319938</v>
      </c>
      <c r="G418" s="180"/>
    </row>
    <row r="419" spans="1:7">
      <c r="A419" s="215" t="s">
        <v>192</v>
      </c>
      <c r="B419" s="216">
        <v>67.7</v>
      </c>
      <c r="C419" s="79">
        <f t="shared" si="9"/>
        <v>64.7</v>
      </c>
      <c r="D419" s="174">
        <f t="shared" si="8"/>
        <v>0.080059084194978</v>
      </c>
      <c r="E419" s="179"/>
      <c r="F419" s="179">
        <f t="shared" ref="E419:F438" si="10">IF($B419&lt;=F$453,0,IF(AND(F$453&lt;$B419,$B419&lt;=F$451),$E$1*($B419-F$453),$E$1*(F$451-F$453)+$F$1*($B419-F$451)))/$B419</f>
        <v>0.0185480059084195</v>
      </c>
      <c r="G419" s="180"/>
    </row>
    <row r="420" spans="1:7">
      <c r="A420" s="215" t="s">
        <v>193</v>
      </c>
      <c r="B420" s="216">
        <v>70.3</v>
      </c>
      <c r="C420" s="79">
        <f t="shared" si="9"/>
        <v>67.7</v>
      </c>
      <c r="D420" s="174">
        <f t="shared" si="8"/>
        <v>0.114082503556188</v>
      </c>
      <c r="E420" s="179">
        <f t="shared" si="10"/>
        <v>0.0114082503556188</v>
      </c>
      <c r="F420" s="179">
        <f t="shared" si="10"/>
        <v>0.0215604551920341</v>
      </c>
      <c r="G420" s="180"/>
    </row>
    <row r="421" spans="1:7">
      <c r="A421" s="215" t="s">
        <v>194</v>
      </c>
      <c r="B421" s="216">
        <v>72.7</v>
      </c>
      <c r="C421" s="79">
        <f t="shared" si="9"/>
        <v>70.3</v>
      </c>
      <c r="D421" s="174">
        <f t="shared" si="8"/>
        <v>0.143328748280605</v>
      </c>
      <c r="E421" s="179">
        <f t="shared" si="10"/>
        <v>0.0143328748280605</v>
      </c>
      <c r="F421" s="179">
        <f t="shared" si="10"/>
        <v>0.0241499312242091</v>
      </c>
      <c r="G421" s="180"/>
    </row>
    <row r="422" spans="1:7">
      <c r="A422" s="215" t="s">
        <v>195</v>
      </c>
      <c r="B422" s="216">
        <v>76.7</v>
      </c>
      <c r="C422" s="79">
        <f t="shared" si="9"/>
        <v>72.7</v>
      </c>
      <c r="D422" s="174">
        <f t="shared" si="8"/>
        <v>0.188005215123859</v>
      </c>
      <c r="E422" s="179">
        <f t="shared" si="10"/>
        <v>0.0188005215123859</v>
      </c>
      <c r="F422" s="179">
        <f t="shared" si="10"/>
        <v>0.0281056062581486</v>
      </c>
      <c r="G422" s="180"/>
    </row>
    <row r="423" spans="1:7">
      <c r="A423" s="215" t="s">
        <v>196</v>
      </c>
      <c r="B423" s="216">
        <v>79.8</v>
      </c>
      <c r="C423" s="79">
        <f t="shared" si="9"/>
        <v>76.7</v>
      </c>
      <c r="D423" s="174">
        <f t="shared" si="8"/>
        <v>0.219548872180451</v>
      </c>
      <c r="E423" s="179">
        <f t="shared" si="10"/>
        <v>0.0219548872180451</v>
      </c>
      <c r="F423" s="179">
        <f t="shared" si="10"/>
        <v>0.0308984962406015</v>
      </c>
      <c r="G423" s="180"/>
    </row>
    <row r="424" spans="1:7">
      <c r="A424" s="215" t="s">
        <v>197</v>
      </c>
      <c r="B424" s="216">
        <v>83.7</v>
      </c>
      <c r="C424" s="79">
        <f t="shared" si="9"/>
        <v>79.8</v>
      </c>
      <c r="D424" s="174">
        <f t="shared" si="8"/>
        <v>0.255913978494624</v>
      </c>
      <c r="E424" s="179">
        <f t="shared" si="10"/>
        <v>0.0255913978494624</v>
      </c>
      <c r="F424" s="179">
        <f t="shared" si="10"/>
        <v>0.0341182795698925</v>
      </c>
      <c r="G424" s="180"/>
    </row>
    <row r="425" spans="1:7">
      <c r="A425" s="215" t="s">
        <v>198</v>
      </c>
      <c r="B425" s="216">
        <v>88.5</v>
      </c>
      <c r="C425" s="79">
        <f t="shared" si="9"/>
        <v>83.7</v>
      </c>
      <c r="D425" s="174">
        <f t="shared" si="8"/>
        <v>0.296271186440678</v>
      </c>
      <c r="E425" s="179">
        <f t="shared" si="10"/>
        <v>0.0296271186440678</v>
      </c>
      <c r="F425" s="179">
        <f t="shared" si="10"/>
        <v>0.0376915254237288</v>
      </c>
      <c r="G425" s="180"/>
    </row>
    <row r="426" spans="1:7">
      <c r="A426" s="215" t="s">
        <v>199</v>
      </c>
      <c r="B426" s="216">
        <v>92.8</v>
      </c>
      <c r="C426" s="79">
        <f t="shared" si="9"/>
        <v>88.5</v>
      </c>
      <c r="D426" s="174">
        <f t="shared" si="8"/>
        <v>0.328879310344828</v>
      </c>
      <c r="E426" s="179">
        <f t="shared" si="10"/>
        <v>0.0328879310344828</v>
      </c>
      <c r="F426" s="179">
        <f t="shared" si="10"/>
        <v>0.0434719827586207</v>
      </c>
      <c r="G426" s="180"/>
    </row>
    <row r="427" spans="1:7">
      <c r="A427" s="215" t="s">
        <v>200</v>
      </c>
      <c r="B427" s="216">
        <v>96.7</v>
      </c>
      <c r="C427" s="79">
        <f t="shared" si="9"/>
        <v>92.8</v>
      </c>
      <c r="D427" s="174">
        <f t="shared" si="8"/>
        <v>0.355946225439504</v>
      </c>
      <c r="E427" s="179">
        <f t="shared" si="10"/>
        <v>0.0355946225439504</v>
      </c>
      <c r="F427" s="179">
        <f t="shared" si="10"/>
        <v>0.0578510858324716</v>
      </c>
      <c r="G427" s="180"/>
    </row>
    <row r="428" spans="1:7">
      <c r="A428" s="215" t="s">
        <v>201</v>
      </c>
      <c r="B428" s="216">
        <v>99.7</v>
      </c>
      <c r="C428" s="79">
        <f t="shared" si="9"/>
        <v>96.7</v>
      </c>
      <c r="D428" s="174">
        <f t="shared" si="8"/>
        <v>0.375325977933801</v>
      </c>
      <c r="E428" s="179">
        <f t="shared" si="10"/>
        <v>0.0375325977933801</v>
      </c>
      <c r="F428" s="179">
        <f t="shared" si="10"/>
        <v>0.0681464393179539</v>
      </c>
      <c r="G428" s="180"/>
    </row>
    <row r="429" spans="1:7">
      <c r="A429" s="215" t="s">
        <v>202</v>
      </c>
      <c r="B429" s="216">
        <v>102.8</v>
      </c>
      <c r="C429" s="79">
        <f t="shared" si="9"/>
        <v>99.7</v>
      </c>
      <c r="D429" s="174">
        <f t="shared" si="8"/>
        <v>0.394163424124514</v>
      </c>
      <c r="E429" s="179">
        <f t="shared" si="10"/>
        <v>0.0394163424124514</v>
      </c>
      <c r="F429" s="179">
        <f t="shared" si="10"/>
        <v>0.0781536964980545</v>
      </c>
      <c r="G429" s="180"/>
    </row>
    <row r="430" spans="1:7">
      <c r="A430" s="215" t="s">
        <v>203</v>
      </c>
      <c r="B430" s="216">
        <v>107.4</v>
      </c>
      <c r="C430" s="79">
        <f t="shared" si="9"/>
        <v>102.8</v>
      </c>
      <c r="D430" s="174">
        <f t="shared" si="8"/>
        <v>0.420111731843576</v>
      </c>
      <c r="E430" s="179">
        <f t="shared" si="10"/>
        <v>0.0520670391061453</v>
      </c>
      <c r="F430" s="179">
        <f t="shared" si="10"/>
        <v>0.0919385474860335</v>
      </c>
      <c r="G430" s="180"/>
    </row>
    <row r="431" spans="1:7">
      <c r="A431" s="215" t="s">
        <v>204</v>
      </c>
      <c r="B431" s="216">
        <v>111.4</v>
      </c>
      <c r="C431" s="79">
        <f t="shared" si="9"/>
        <v>107.4</v>
      </c>
      <c r="D431" s="174">
        <f t="shared" si="8"/>
        <v>0.440933572710952</v>
      </c>
      <c r="E431" s="179">
        <f t="shared" si="10"/>
        <v>0.0645601436265709</v>
      </c>
      <c r="F431" s="179">
        <f t="shared" si="10"/>
        <v>0.103</v>
      </c>
      <c r="G431" s="180"/>
    </row>
    <row r="432" spans="1:7">
      <c r="A432" s="215" t="s">
        <v>205</v>
      </c>
      <c r="B432" s="216">
        <v>115</v>
      </c>
      <c r="C432" s="79">
        <f t="shared" si="9"/>
        <v>111.4</v>
      </c>
      <c r="D432" s="174">
        <f t="shared" si="8"/>
        <v>0.458434782608696</v>
      </c>
      <c r="E432" s="179">
        <f t="shared" si="10"/>
        <v>0.0750608695652174</v>
      </c>
      <c r="F432" s="179">
        <f t="shared" si="10"/>
        <v>0.112297391304348</v>
      </c>
      <c r="G432" s="180"/>
    </row>
    <row r="433" spans="1:7">
      <c r="A433" s="215" t="s">
        <v>206</v>
      </c>
      <c r="B433" s="216">
        <v>120.4</v>
      </c>
      <c r="C433" s="79">
        <f t="shared" si="9"/>
        <v>115</v>
      </c>
      <c r="D433" s="174">
        <f t="shared" si="8"/>
        <v>0.482724252491694</v>
      </c>
      <c r="E433" s="179">
        <f t="shared" si="10"/>
        <v>0.0896345514950166</v>
      </c>
      <c r="F433" s="179">
        <f t="shared" si="10"/>
        <v>0.125200996677741</v>
      </c>
      <c r="G433" s="180"/>
    </row>
    <row r="434" spans="1:7">
      <c r="A434" s="215" t="s">
        <v>207</v>
      </c>
      <c r="B434" s="216">
        <v>126.9</v>
      </c>
      <c r="C434" s="79">
        <f t="shared" si="9"/>
        <v>120.4</v>
      </c>
      <c r="D434" s="174">
        <f t="shared" si="8"/>
        <v>0.509219858156028</v>
      </c>
      <c r="E434" s="179">
        <f t="shared" si="10"/>
        <v>0.105531914893617</v>
      </c>
      <c r="F434" s="179">
        <f t="shared" si="10"/>
        <v>0.139276595744681</v>
      </c>
      <c r="G434" s="180"/>
    </row>
    <row r="435" spans="1:7">
      <c r="A435" s="215" t="s">
        <v>208</v>
      </c>
      <c r="B435" s="216">
        <v>133.2</v>
      </c>
      <c r="C435" s="79">
        <f t="shared" si="9"/>
        <v>126.9</v>
      </c>
      <c r="D435" s="174">
        <f t="shared" si="8"/>
        <v>0.532432432432432</v>
      </c>
      <c r="E435" s="179">
        <f t="shared" si="10"/>
        <v>0.119459459459459</v>
      </c>
      <c r="F435" s="179">
        <f t="shared" si="10"/>
        <v>0.151608108108108</v>
      </c>
      <c r="G435" s="180"/>
    </row>
    <row r="436" spans="1:7">
      <c r="A436" s="215" t="s">
        <v>209</v>
      </c>
      <c r="B436" s="216">
        <v>137.8</v>
      </c>
      <c r="C436" s="79">
        <f t="shared" si="9"/>
        <v>133.2</v>
      </c>
      <c r="D436" s="174">
        <f t="shared" si="8"/>
        <v>0.548040638606676</v>
      </c>
      <c r="E436" s="179">
        <f t="shared" si="10"/>
        <v>0.128824383164006</v>
      </c>
      <c r="F436" s="179">
        <f t="shared" si="10"/>
        <v>0.159899854862119</v>
      </c>
      <c r="G436" s="180"/>
    </row>
    <row r="437" spans="1:7">
      <c r="A437" s="215" t="s">
        <v>210</v>
      </c>
      <c r="B437" s="216">
        <v>144</v>
      </c>
      <c r="C437" s="79">
        <f t="shared" si="9"/>
        <v>137.8</v>
      </c>
      <c r="D437" s="174">
        <f t="shared" si="8"/>
        <v>0.5675</v>
      </c>
      <c r="E437" s="179">
        <f t="shared" si="10"/>
        <v>0.1405</v>
      </c>
      <c r="F437" s="179">
        <f t="shared" si="10"/>
        <v>0.1702375</v>
      </c>
      <c r="G437" s="180"/>
    </row>
    <row r="438" spans="1:7">
      <c r="A438" s="215" t="s">
        <v>211</v>
      </c>
      <c r="B438" s="216">
        <v>149</v>
      </c>
      <c r="C438" s="79">
        <f t="shared" si="9"/>
        <v>144</v>
      </c>
      <c r="D438" s="174">
        <f t="shared" si="8"/>
        <v>0.582013422818792</v>
      </c>
      <c r="E438" s="179">
        <f t="shared" si="10"/>
        <v>0.149208053691275</v>
      </c>
      <c r="F438" s="179">
        <f t="shared" si="10"/>
        <v>0.177947651006711</v>
      </c>
      <c r="G438" s="180"/>
    </row>
    <row r="439" spans="1:7">
      <c r="A439" s="215" t="s">
        <v>212</v>
      </c>
      <c r="B439" s="216">
        <v>155.5</v>
      </c>
      <c r="C439" s="79">
        <f t="shared" si="9"/>
        <v>149</v>
      </c>
      <c r="D439" s="174">
        <f t="shared" si="8"/>
        <v>0.599485530546624</v>
      </c>
      <c r="E439" s="179">
        <f t="shared" ref="E439:F448" si="11">IF($B439&lt;=E$453,0,IF(AND(E$453&lt;$B439,$B439&lt;=E$451),$E$1*($B439-E$453),$E$1*(E$451-E$453)+$F$1*($B439-E$451)))/$B439</f>
        <v>0.159691318327974</v>
      </c>
      <c r="F439" s="179">
        <f t="shared" si="11"/>
        <v>0.187229581993569</v>
      </c>
      <c r="G439" s="180"/>
    </row>
    <row r="440" spans="1:7">
      <c r="A440" s="215" t="s">
        <v>213</v>
      </c>
      <c r="B440" s="216">
        <v>165.1</v>
      </c>
      <c r="C440" s="79">
        <f t="shared" si="9"/>
        <v>155.5</v>
      </c>
      <c r="D440" s="174">
        <f t="shared" si="8"/>
        <v>0.622774076317383</v>
      </c>
      <c r="E440" s="179">
        <f t="shared" si="11"/>
        <v>0.17366444579043</v>
      </c>
      <c r="F440" s="179">
        <f t="shared" si="11"/>
        <v>0.199601453664446</v>
      </c>
      <c r="G440" s="180"/>
    </row>
    <row r="441" spans="1:7">
      <c r="A441" s="215" t="s">
        <v>214</v>
      </c>
      <c r="B441" s="216">
        <v>176</v>
      </c>
      <c r="C441" s="79">
        <f t="shared" si="9"/>
        <v>165.1</v>
      </c>
      <c r="D441" s="174">
        <f t="shared" si="8"/>
        <v>0.646136363636364</v>
      </c>
      <c r="E441" s="179">
        <f t="shared" si="11"/>
        <v>0.187681818181818</v>
      </c>
      <c r="F441" s="179">
        <f t="shared" si="11"/>
        <v>0.2120125</v>
      </c>
      <c r="G441" s="180"/>
    </row>
    <row r="442" spans="1:7">
      <c r="A442" s="215" t="s">
        <v>215</v>
      </c>
      <c r="B442" s="216">
        <v>188.2</v>
      </c>
      <c r="C442" s="79">
        <f t="shared" si="9"/>
        <v>176</v>
      </c>
      <c r="D442" s="174">
        <f t="shared" si="8"/>
        <v>0.669075451647184</v>
      </c>
      <c r="E442" s="179">
        <f t="shared" si="11"/>
        <v>0.20144527098831</v>
      </c>
      <c r="F442" s="179">
        <f t="shared" si="11"/>
        <v>0.224198724760893</v>
      </c>
      <c r="G442" s="180"/>
    </row>
    <row r="443" spans="1:7">
      <c r="A443" s="215" t="s">
        <v>216</v>
      </c>
      <c r="B443" s="216">
        <v>203.9</v>
      </c>
      <c r="C443" s="79">
        <f t="shared" si="9"/>
        <v>188.2</v>
      </c>
      <c r="D443" s="174">
        <f t="shared" si="8"/>
        <v>0.69455615497793</v>
      </c>
      <c r="E443" s="179">
        <f t="shared" si="11"/>
        <v>0.216733692986758</v>
      </c>
      <c r="F443" s="179">
        <f t="shared" si="11"/>
        <v>0.237735164296224</v>
      </c>
      <c r="G443" s="180"/>
    </row>
    <row r="444" spans="1:7">
      <c r="A444" s="215" t="s">
        <v>217</v>
      </c>
      <c r="B444" s="216">
        <v>216.7</v>
      </c>
      <c r="C444" s="79">
        <f t="shared" si="9"/>
        <v>203.9</v>
      </c>
      <c r="D444" s="174">
        <f t="shared" si="8"/>
        <v>0.712598061836641</v>
      </c>
      <c r="E444" s="179">
        <f t="shared" si="11"/>
        <v>0.227558837101984</v>
      </c>
      <c r="F444" s="179">
        <f t="shared" si="11"/>
        <v>0.247319796954315</v>
      </c>
      <c r="G444" s="180"/>
    </row>
    <row r="445" spans="1:7">
      <c r="A445" s="215" t="s">
        <v>218</v>
      </c>
      <c r="B445" s="216">
        <v>238.9</v>
      </c>
      <c r="C445" s="79">
        <f t="shared" si="9"/>
        <v>216.7</v>
      </c>
      <c r="D445" s="174">
        <f t="shared" si="8"/>
        <v>0.73930514859774</v>
      </c>
      <c r="E445" s="179">
        <f t="shared" si="11"/>
        <v>0.243583089158644</v>
      </c>
      <c r="F445" s="179">
        <f t="shared" si="11"/>
        <v>0.261507743825869</v>
      </c>
      <c r="G445" s="180"/>
    </row>
    <row r="446" spans="1:7">
      <c r="A446" s="215" t="s">
        <v>219</v>
      </c>
      <c r="B446" s="216">
        <v>276.9</v>
      </c>
      <c r="C446" s="79">
        <f t="shared" si="9"/>
        <v>238.9</v>
      </c>
      <c r="D446" s="174">
        <f t="shared" si="8"/>
        <v>0.775081256771398</v>
      </c>
      <c r="E446" s="179">
        <f t="shared" si="11"/>
        <v>0.265048754062839</v>
      </c>
      <c r="F446" s="179">
        <f t="shared" si="11"/>
        <v>0.280513542795233</v>
      </c>
      <c r="G446" s="180"/>
    </row>
    <row r="447" spans="1:7">
      <c r="A447" s="215" t="s">
        <v>220</v>
      </c>
      <c r="B447" s="216">
        <v>319.2</v>
      </c>
      <c r="C447" s="79">
        <f t="shared" si="9"/>
        <v>276.9</v>
      </c>
      <c r="D447" s="174">
        <f t="shared" si="8"/>
        <v>0.804887218045113</v>
      </c>
      <c r="E447" s="179">
        <f t="shared" si="11"/>
        <v>0.282932330827068</v>
      </c>
      <c r="F447" s="179">
        <f t="shared" si="11"/>
        <v>0.296347744360902</v>
      </c>
      <c r="G447" s="180"/>
    </row>
    <row r="448" spans="1:7">
      <c r="A448" s="215" t="s">
        <v>221</v>
      </c>
      <c r="B448" s="216">
        <v>374.2</v>
      </c>
      <c r="C448" s="79">
        <f t="shared" si="9"/>
        <v>319.2</v>
      </c>
      <c r="D448" s="174">
        <f t="shared" si="8"/>
        <v>0.833564938535543</v>
      </c>
      <c r="E448" s="179">
        <f t="shared" si="11"/>
        <v>0.300138963121325</v>
      </c>
      <c r="F448" s="179">
        <f t="shared" si="11"/>
        <v>0.31158257616248</v>
      </c>
      <c r="G448" s="180"/>
    </row>
    <row r="449" ht="15.75" spans="1:7">
      <c r="A449" s="217" t="s">
        <v>221</v>
      </c>
      <c r="B449" s="218" t="s">
        <v>425</v>
      </c>
      <c r="C449" s="79">
        <f t="shared" si="9"/>
        <v>374.2</v>
      </c>
      <c r="D449" s="184"/>
      <c r="E449" s="184"/>
      <c r="F449" s="184"/>
      <c r="G449" s="185"/>
    </row>
    <row r="450" ht="15.75" spans="1:7">
      <c r="A450" s="186"/>
      <c r="B450" s="219"/>
      <c r="C450" s="79" t="str">
        <f t="shared" si="9"/>
        <v>&gt;374,2</v>
      </c>
      <c r="D450" s="220"/>
      <c r="E450" s="221">
        <f>AVERAGE(E399:E448)</f>
        <v>0.0718848224945909</v>
      </c>
      <c r="F450" s="221">
        <f>AVERAGE(F399:F449)</f>
        <v>0.0833532655878942</v>
      </c>
      <c r="G450" s="222"/>
    </row>
    <row r="451" ht="53.25" customHeight="1" spans="1:7">
      <c r="A451" s="191" t="s">
        <v>233</v>
      </c>
      <c r="B451" s="192"/>
      <c r="C451" s="79">
        <f t="shared" si="9"/>
        <v>0</v>
      </c>
      <c r="D451" s="193"/>
      <c r="E451" s="194">
        <f>B452</f>
        <v>103.8</v>
      </c>
      <c r="F451" s="195">
        <f>B456</f>
        <v>91.905</v>
      </c>
      <c r="G451" s="196"/>
    </row>
    <row r="452" ht="51.75" customHeight="1" spans="1:7">
      <c r="A452" s="197" t="s">
        <v>224</v>
      </c>
      <c r="B452" s="198">
        <v>103.8</v>
      </c>
      <c r="C452" s="79">
        <f t="shared" si="9"/>
        <v>0</v>
      </c>
      <c r="D452" s="199"/>
      <c r="E452" s="200"/>
      <c r="F452" s="200"/>
      <c r="G452" s="201"/>
    </row>
    <row r="453" ht="77.25" customHeight="1" spans="1:7">
      <c r="A453" s="202" t="s">
        <v>225</v>
      </c>
      <c r="B453" s="203">
        <v>62.3</v>
      </c>
      <c r="D453" s="184"/>
      <c r="E453" s="183">
        <f>0.6*E451</f>
        <v>62.28</v>
      </c>
      <c r="F453" s="183">
        <f>0.6*F451</f>
        <v>55.143</v>
      </c>
      <c r="G453" s="204"/>
    </row>
    <row r="454" ht="15.75"/>
    <row r="455" ht="51.75" spans="1:2">
      <c r="A455" s="205" t="s">
        <v>224</v>
      </c>
      <c r="B455" s="166">
        <f>B452</f>
        <v>103.8</v>
      </c>
    </row>
    <row r="456" spans="1:2">
      <c r="A456" s="542" t="s">
        <v>226</v>
      </c>
      <c r="B456" s="207">
        <f>AVERAGE(B404:B443)</f>
        <v>91.905</v>
      </c>
    </row>
    <row r="457" spans="1:2">
      <c r="A457" s="543" t="s">
        <v>227</v>
      </c>
      <c r="B457" s="209">
        <f>AVERAGE(B409:B438)</f>
        <v>86.99</v>
      </c>
    </row>
    <row r="458" ht="15.75" spans="1:2">
      <c r="A458" s="544" t="s">
        <v>228</v>
      </c>
      <c r="B458" s="211">
        <f>AVERAGE(B415:B433)</f>
        <v>85.7</v>
      </c>
    </row>
  </sheetData>
  <mergeCells count="14">
    <mergeCell ref="B2:D2"/>
    <mergeCell ref="B69:D69"/>
    <mergeCell ref="B134:D134"/>
    <mergeCell ref="B200:D200"/>
    <mergeCell ref="B265:D265"/>
    <mergeCell ref="B330:D330"/>
    <mergeCell ref="B395:D395"/>
    <mergeCell ref="A2:A4"/>
    <mergeCell ref="A69:A71"/>
    <mergeCell ref="A134:A136"/>
    <mergeCell ref="A200:A202"/>
    <mergeCell ref="A265:A267"/>
    <mergeCell ref="A330:A332"/>
    <mergeCell ref="A395:A397"/>
  </mergeCells>
  <pageMargins left="0.7" right="0.7" top="0.75" bottom="0.75" header="0.3" footer="0.3"/>
  <pageSetup paperSize="9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Лист20">
    <tabColor rgb="FF92D050"/>
  </sheetPr>
  <dimension ref="A1:L452"/>
  <sheetViews>
    <sheetView topLeftCell="A466" workbookViewId="0">
      <selection activeCell="E346" sqref="E346:E348"/>
    </sheetView>
  </sheetViews>
  <sheetFormatPr defaultColWidth="8.72380952380952" defaultRowHeight="15"/>
  <cols>
    <col min="1" max="1" width="19.7238095238095" customWidth="1"/>
    <col min="2" max="2" width="17.2666666666667" customWidth="1"/>
    <col min="3" max="3" width="9.18095238095238"/>
    <col min="4" max="4" width="16.2666666666667" customWidth="1"/>
    <col min="5" max="5" width="15" customWidth="1"/>
    <col min="6" max="6" width="16.4571428571429" style="64" customWidth="1"/>
    <col min="7" max="7" width="17.2666666666667" style="64" customWidth="1"/>
  </cols>
  <sheetData>
    <row r="1" ht="15.75" spans="4:5">
      <c r="D1" s="65">
        <v>0.1</v>
      </c>
      <c r="E1" s="65">
        <v>0.4</v>
      </c>
    </row>
    <row r="2" ht="23.25" customHeight="1" spans="1:7">
      <c r="A2" s="66" t="s">
        <v>165</v>
      </c>
      <c r="B2" s="67" t="s">
        <v>166</v>
      </c>
      <c r="C2" s="68"/>
      <c r="D2" s="69"/>
      <c r="E2" s="70">
        <f>(1-E57)^(1/3)-1</f>
        <v>-0.0228186830525638</v>
      </c>
      <c r="F2" s="70">
        <f>(1-F57)^(1/3)-1</f>
        <v>-0.0231105746066524</v>
      </c>
      <c r="G2" s="70"/>
    </row>
    <row r="3" ht="47.25" customHeight="1" spans="1:7">
      <c r="A3" s="71"/>
      <c r="B3" s="72" t="s">
        <v>167</v>
      </c>
      <c r="C3" s="72"/>
      <c r="D3" s="72" t="s">
        <v>168</v>
      </c>
      <c r="E3" s="72" t="s">
        <v>169</v>
      </c>
      <c r="F3" s="73" t="s">
        <v>169</v>
      </c>
      <c r="G3" s="73"/>
    </row>
    <row r="4" ht="16.5" customHeight="1" spans="1:7">
      <c r="A4" s="74"/>
      <c r="B4" s="72" t="s">
        <v>170</v>
      </c>
      <c r="C4" s="72"/>
      <c r="D4" s="72" t="s">
        <v>171</v>
      </c>
      <c r="E4" s="72" t="s">
        <v>171</v>
      </c>
      <c r="F4" s="73" t="s">
        <v>171</v>
      </c>
      <c r="G4" s="73"/>
    </row>
    <row r="5" spans="1:7">
      <c r="A5" s="75">
        <v>1</v>
      </c>
      <c r="B5" s="76">
        <v>2</v>
      </c>
      <c r="C5" s="76"/>
      <c r="D5" s="76">
        <v>3</v>
      </c>
      <c r="E5" s="76">
        <v>4</v>
      </c>
      <c r="F5" s="77">
        <v>5</v>
      </c>
      <c r="G5" s="77"/>
    </row>
    <row r="6" spans="1:7">
      <c r="A6" s="530" t="s">
        <v>172</v>
      </c>
      <c r="B6" s="137">
        <v>7.4</v>
      </c>
      <c r="C6" s="79">
        <v>0</v>
      </c>
      <c r="D6" s="80">
        <v>0</v>
      </c>
      <c r="E6" s="80">
        <v>0</v>
      </c>
      <c r="F6" s="81">
        <v>0</v>
      </c>
      <c r="G6" s="81">
        <v>0.0189189189189189</v>
      </c>
    </row>
    <row r="7" spans="1:7">
      <c r="A7" s="530" t="s">
        <v>173</v>
      </c>
      <c r="B7" s="137">
        <v>8.9</v>
      </c>
      <c r="C7" s="79">
        <f>B6</f>
        <v>7.4</v>
      </c>
      <c r="D7" s="80">
        <v>0</v>
      </c>
      <c r="E7" s="80">
        <v>0</v>
      </c>
      <c r="F7" s="81">
        <v>0</v>
      </c>
      <c r="G7" s="81">
        <v>0.0325842696629213</v>
      </c>
    </row>
    <row r="8" spans="1:7">
      <c r="A8" s="530" t="s">
        <v>174</v>
      </c>
      <c r="B8" s="137">
        <v>10.5</v>
      </c>
      <c r="C8" s="79">
        <f t="shared" ref="C8:C56" si="0">B7</f>
        <v>8.9</v>
      </c>
      <c r="D8" s="80">
        <v>0</v>
      </c>
      <c r="E8" s="80">
        <v>0</v>
      </c>
      <c r="F8" s="81">
        <v>0</v>
      </c>
      <c r="G8" s="81">
        <v>0.0571428571428571</v>
      </c>
    </row>
    <row r="9" spans="1:7">
      <c r="A9" s="530" t="s">
        <v>175</v>
      </c>
      <c r="B9" s="137">
        <v>11.5</v>
      </c>
      <c r="C9" s="79">
        <f t="shared" si="0"/>
        <v>10.5</v>
      </c>
      <c r="D9" s="80">
        <v>0</v>
      </c>
      <c r="E9" s="80">
        <v>0</v>
      </c>
      <c r="F9" s="81">
        <v>0</v>
      </c>
      <c r="G9" s="81">
        <v>0.0869565217391304</v>
      </c>
    </row>
    <row r="10" spans="1:7">
      <c r="A10" s="530" t="s">
        <v>176</v>
      </c>
      <c r="B10" s="137">
        <v>12.3</v>
      </c>
      <c r="C10" s="79">
        <f t="shared" si="0"/>
        <v>11.5</v>
      </c>
      <c r="D10" s="80">
        <v>0</v>
      </c>
      <c r="E10" s="80">
        <v>0</v>
      </c>
      <c r="F10" s="81">
        <v>0</v>
      </c>
      <c r="G10" s="81">
        <v>0.107317073170732</v>
      </c>
    </row>
    <row r="11" spans="1:7">
      <c r="A11" s="530" t="s">
        <v>177</v>
      </c>
      <c r="B11" s="137">
        <v>13</v>
      </c>
      <c r="C11" s="79">
        <f t="shared" si="0"/>
        <v>12.3</v>
      </c>
      <c r="D11" s="80">
        <v>0</v>
      </c>
      <c r="E11" s="80">
        <v>0</v>
      </c>
      <c r="F11" s="81">
        <v>0</v>
      </c>
      <c r="G11" s="81">
        <v>0.123076923076923</v>
      </c>
    </row>
    <row r="12" spans="1:7">
      <c r="A12" s="530" t="s">
        <v>178</v>
      </c>
      <c r="B12" s="137">
        <v>13.5</v>
      </c>
      <c r="C12" s="79">
        <f t="shared" si="0"/>
        <v>13</v>
      </c>
      <c r="D12" s="80">
        <v>0</v>
      </c>
      <c r="E12" s="80">
        <v>0</v>
      </c>
      <c r="F12" s="81">
        <v>0</v>
      </c>
      <c r="G12" s="81">
        <v>0.133333333333333</v>
      </c>
    </row>
    <row r="13" spans="1:7">
      <c r="A13" s="78" t="s">
        <v>179</v>
      </c>
      <c r="B13" s="137">
        <v>14.2</v>
      </c>
      <c r="C13" s="79">
        <f t="shared" si="0"/>
        <v>13.5</v>
      </c>
      <c r="D13" s="80">
        <v>0.00281690140845052</v>
      </c>
      <c r="E13" s="80">
        <v>0.000281690140845052</v>
      </c>
      <c r="F13" s="81">
        <v>0.000774647887323927</v>
      </c>
      <c r="G13" s="81">
        <v>0.146478873239437</v>
      </c>
    </row>
    <row r="14" spans="1:7">
      <c r="A14" s="78" t="s">
        <v>180</v>
      </c>
      <c r="B14" s="137">
        <v>14.9</v>
      </c>
      <c r="C14" s="79">
        <f t="shared" si="0"/>
        <v>14.2</v>
      </c>
      <c r="D14" s="80">
        <v>0.0496644295302012</v>
      </c>
      <c r="E14" s="80"/>
      <c r="F14" s="81">
        <v>0.00543624161073825</v>
      </c>
      <c r="G14" s="81">
        <v>0.158389261744966</v>
      </c>
    </row>
    <row r="15" spans="1:7">
      <c r="A15" s="78" t="s">
        <v>181</v>
      </c>
      <c r="B15" s="137">
        <v>15.5</v>
      </c>
      <c r="C15" s="79">
        <f t="shared" si="0"/>
        <v>14.9</v>
      </c>
      <c r="D15" s="80">
        <v>0.0864516129032257</v>
      </c>
      <c r="E15" s="80"/>
      <c r="F15" s="81">
        <v>0.00909677419354838</v>
      </c>
      <c r="G15" s="81">
        <v>0.167741935483871</v>
      </c>
    </row>
    <row r="16" spans="1:7">
      <c r="A16" s="78" t="s">
        <v>182</v>
      </c>
      <c r="B16" s="137">
        <v>16</v>
      </c>
      <c r="C16" s="79">
        <f t="shared" si="0"/>
        <v>15.5</v>
      </c>
      <c r="D16" s="80">
        <v>0.115</v>
      </c>
      <c r="E16" s="80">
        <v>0.0115</v>
      </c>
      <c r="F16" s="81">
        <v>0.0119375</v>
      </c>
      <c r="G16" s="81">
        <v>0.175</v>
      </c>
    </row>
    <row r="17" spans="1:7">
      <c r="A17" s="78" t="s">
        <v>183</v>
      </c>
      <c r="B17" s="137">
        <v>16.6</v>
      </c>
      <c r="C17" s="79">
        <f t="shared" si="0"/>
        <v>16</v>
      </c>
      <c r="D17" s="80">
        <v>0.146987951807229</v>
      </c>
      <c r="E17" s="80">
        <v>0.0146987951807229</v>
      </c>
      <c r="F17" s="81">
        <v>0.0151204819277108</v>
      </c>
      <c r="G17" s="81">
        <v>0.183132530120482</v>
      </c>
    </row>
    <row r="18" spans="1:7">
      <c r="A18" s="78" t="s">
        <v>184</v>
      </c>
      <c r="B18" s="137">
        <v>17.1</v>
      </c>
      <c r="C18" s="79">
        <f t="shared" si="0"/>
        <v>16.6</v>
      </c>
      <c r="D18" s="80">
        <v>0.171929824561403</v>
      </c>
      <c r="E18" s="80">
        <v>0.0171929824561404</v>
      </c>
      <c r="F18" s="81">
        <v>0.0176023391812865</v>
      </c>
      <c r="G18" s="81">
        <v>0.189473684210526</v>
      </c>
    </row>
    <row r="19" spans="1:7">
      <c r="A19" s="78" t="s">
        <v>185</v>
      </c>
      <c r="B19" s="137">
        <v>17.7</v>
      </c>
      <c r="C19" s="79">
        <f t="shared" si="0"/>
        <v>17.1</v>
      </c>
      <c r="D19" s="80">
        <v>0.2</v>
      </c>
      <c r="E19" s="80">
        <v>0.02</v>
      </c>
      <c r="F19" s="81">
        <v>0.0203954802259887</v>
      </c>
      <c r="G19" s="81">
        <v>0.196610169491525</v>
      </c>
    </row>
    <row r="20" spans="1:7">
      <c r="A20" s="78" t="s">
        <v>186</v>
      </c>
      <c r="B20" s="137">
        <v>18.2</v>
      </c>
      <c r="C20" s="79">
        <f t="shared" si="0"/>
        <v>17.7</v>
      </c>
      <c r="D20" s="80">
        <v>0.221978021978022</v>
      </c>
      <c r="E20" s="80">
        <v>0.0221978021978022</v>
      </c>
      <c r="F20" s="81">
        <v>0.0225824175824176</v>
      </c>
      <c r="G20" s="81">
        <v>0.202197802197802</v>
      </c>
    </row>
    <row r="21" spans="1:7">
      <c r="A21" s="78" t="s">
        <v>187</v>
      </c>
      <c r="B21" s="137">
        <v>18.7</v>
      </c>
      <c r="C21" s="79">
        <f t="shared" si="0"/>
        <v>18.2</v>
      </c>
      <c r="D21" s="80">
        <v>0.242780748663101</v>
      </c>
      <c r="E21" s="80">
        <v>0.0242780748663101</v>
      </c>
      <c r="F21" s="81">
        <v>0.0246524064171123</v>
      </c>
      <c r="G21" s="81">
        <v>0.207486631016043</v>
      </c>
    </row>
    <row r="22" spans="1:7">
      <c r="A22" s="78" t="s">
        <v>188</v>
      </c>
      <c r="B22" s="137">
        <v>19.4</v>
      </c>
      <c r="C22" s="79">
        <f t="shared" si="0"/>
        <v>18.7</v>
      </c>
      <c r="D22" s="80">
        <v>0.270103092783505</v>
      </c>
      <c r="E22" s="80">
        <v>0.0270103092783505</v>
      </c>
      <c r="F22" s="81">
        <v>0.0273711340206185</v>
      </c>
      <c r="G22" s="81">
        <v>0.214432989690722</v>
      </c>
    </row>
    <row r="23" spans="1:7">
      <c r="A23" s="78" t="s">
        <v>189</v>
      </c>
      <c r="B23" s="137">
        <v>19.9</v>
      </c>
      <c r="C23" s="79">
        <f t="shared" si="0"/>
        <v>19.4</v>
      </c>
      <c r="D23" s="80">
        <v>0.288442211055276</v>
      </c>
      <c r="E23" s="80">
        <v>0.0288442211055276</v>
      </c>
      <c r="F23" s="81">
        <v>0.0291959798994975</v>
      </c>
      <c r="G23" s="81">
        <v>0.219095477386935</v>
      </c>
    </row>
    <row r="24" spans="1:7">
      <c r="A24" s="78" t="s">
        <v>190</v>
      </c>
      <c r="B24" s="79">
        <v>20.4</v>
      </c>
      <c r="C24" s="79">
        <f t="shared" si="0"/>
        <v>19.9</v>
      </c>
      <c r="D24" s="80">
        <v>0.305882352941176</v>
      </c>
      <c r="E24" s="80">
        <v>0.0305882352941176</v>
      </c>
      <c r="F24" s="81">
        <v>0.0309313725490196</v>
      </c>
      <c r="G24" s="81">
        <v>0.223529411764706</v>
      </c>
    </row>
    <row r="25" spans="1:7">
      <c r="A25" s="78" t="s">
        <v>191</v>
      </c>
      <c r="B25" s="137">
        <v>20.9</v>
      </c>
      <c r="C25" s="79">
        <f t="shared" si="0"/>
        <v>20.4</v>
      </c>
      <c r="D25" s="80">
        <v>0.322488038277512</v>
      </c>
      <c r="E25" s="80">
        <v>0.0322488038277512</v>
      </c>
      <c r="F25" s="81">
        <v>0.0325837320574163</v>
      </c>
      <c r="G25" s="81">
        <v>0.227751196172249</v>
      </c>
    </row>
    <row r="26" spans="1:7">
      <c r="A26" s="78" t="s">
        <v>192</v>
      </c>
      <c r="B26" s="137">
        <v>21.2</v>
      </c>
      <c r="C26" s="79">
        <f t="shared" si="0"/>
        <v>20.9</v>
      </c>
      <c r="D26" s="80">
        <v>0.332075471698113</v>
      </c>
      <c r="E26" s="80">
        <v>0.0332075471698113</v>
      </c>
      <c r="F26" s="81">
        <v>0.0335377358490566</v>
      </c>
      <c r="G26" s="81">
        <v>0.230188679245283</v>
      </c>
    </row>
    <row r="27" spans="1:7">
      <c r="A27" s="78" t="s">
        <v>193</v>
      </c>
      <c r="B27" s="137">
        <v>21.7</v>
      </c>
      <c r="C27" s="79">
        <f t="shared" si="0"/>
        <v>21.2</v>
      </c>
      <c r="D27" s="80">
        <v>0.347465437788018</v>
      </c>
      <c r="E27" s="80">
        <v>0.0347465437788018</v>
      </c>
      <c r="F27" s="81">
        <v>0.0350691244239631</v>
      </c>
      <c r="G27" s="81">
        <v>0.234101382488479</v>
      </c>
    </row>
    <row r="28" spans="1:7">
      <c r="A28" s="78" t="s">
        <v>194</v>
      </c>
      <c r="B28" s="137">
        <v>22.1</v>
      </c>
      <c r="C28" s="79">
        <f t="shared" si="0"/>
        <v>21.7</v>
      </c>
      <c r="D28" s="80">
        <v>0.359276018099547</v>
      </c>
      <c r="E28" s="80">
        <v>0.0359276018099548</v>
      </c>
      <c r="F28" s="81">
        <v>0.0362443438914027</v>
      </c>
      <c r="G28" s="81">
        <v>0.23710407239819</v>
      </c>
    </row>
    <row r="29" spans="1:7">
      <c r="A29" s="78" t="s">
        <v>195</v>
      </c>
      <c r="B29" s="137">
        <v>22.6</v>
      </c>
      <c r="C29" s="79">
        <f t="shared" si="0"/>
        <v>22.1</v>
      </c>
      <c r="D29" s="80">
        <v>0.373451327433628</v>
      </c>
      <c r="E29" s="80">
        <v>0.0373451327433628</v>
      </c>
      <c r="F29" s="81">
        <v>0.0376548672566372</v>
      </c>
      <c r="G29" s="81">
        <v>0.24070796460177</v>
      </c>
    </row>
    <row r="30" spans="1:7">
      <c r="A30" s="78" t="s">
        <v>196</v>
      </c>
      <c r="B30" s="137">
        <v>23.1</v>
      </c>
      <c r="C30" s="79">
        <f t="shared" si="0"/>
        <v>22.6</v>
      </c>
      <c r="D30" s="80">
        <v>0.387012987012987</v>
      </c>
      <c r="E30" s="80">
        <v>0.0387012987012987</v>
      </c>
      <c r="F30" s="81">
        <v>0.039004329004329</v>
      </c>
      <c r="G30" s="81">
        <v>0.244155844155844</v>
      </c>
    </row>
    <row r="31" spans="1:7">
      <c r="A31" s="78" t="s">
        <v>197</v>
      </c>
      <c r="B31" s="137">
        <v>23.6</v>
      </c>
      <c r="C31" s="79">
        <f t="shared" si="0"/>
        <v>23.1</v>
      </c>
      <c r="D31" s="80">
        <v>0.4</v>
      </c>
      <c r="E31" s="80">
        <v>0.04</v>
      </c>
      <c r="F31" s="81">
        <v>0.0417796610169491</v>
      </c>
      <c r="G31" s="81">
        <v>0.247457627118644</v>
      </c>
    </row>
    <row r="32" spans="1:7">
      <c r="A32" s="78" t="s">
        <v>198</v>
      </c>
      <c r="B32" s="137">
        <v>24.1</v>
      </c>
      <c r="C32" s="79">
        <f t="shared" si="0"/>
        <v>23.6</v>
      </c>
      <c r="D32" s="80">
        <v>0.412448132780083</v>
      </c>
      <c r="E32" s="80">
        <v>0.0474688796680497</v>
      </c>
      <c r="F32" s="81">
        <v>0.0492116182572614</v>
      </c>
      <c r="G32" s="81">
        <v>0.250622406639004</v>
      </c>
    </row>
    <row r="33" spans="1:7">
      <c r="A33" s="78" t="s">
        <v>199</v>
      </c>
      <c r="B33" s="137">
        <v>24.5</v>
      </c>
      <c r="C33" s="79">
        <f t="shared" si="0"/>
        <v>24.1</v>
      </c>
      <c r="D33" s="80">
        <v>0.422040816326531</v>
      </c>
      <c r="E33" s="80">
        <v>0.0532244897959183</v>
      </c>
      <c r="F33" s="81">
        <v>0.054938775510204</v>
      </c>
      <c r="G33" s="81">
        <v>0.253061224489796</v>
      </c>
    </row>
    <row r="34" spans="1:7">
      <c r="A34" s="78" t="s">
        <v>200</v>
      </c>
      <c r="B34" s="137">
        <v>24.9</v>
      </c>
      <c r="C34" s="79">
        <f t="shared" si="0"/>
        <v>24.5</v>
      </c>
      <c r="D34" s="80">
        <v>0.431325301204819</v>
      </c>
      <c r="E34" s="80">
        <v>0.0587951807228915</v>
      </c>
      <c r="F34" s="81">
        <v>0.0604819277108433</v>
      </c>
      <c r="G34" s="81">
        <v>0.255421686746988</v>
      </c>
    </row>
    <row r="35" spans="1:7">
      <c r="A35" s="78" t="s">
        <v>201</v>
      </c>
      <c r="B35" s="137">
        <v>25.4</v>
      </c>
      <c r="C35" s="79">
        <f t="shared" si="0"/>
        <v>24.9</v>
      </c>
      <c r="D35" s="80">
        <v>0.44251968503937</v>
      </c>
      <c r="E35" s="80">
        <v>0.065511811023622</v>
      </c>
      <c r="F35" s="81">
        <v>0.0671653543307086</v>
      </c>
      <c r="G35" s="81">
        <v>0.258267716535433</v>
      </c>
    </row>
    <row r="36" spans="1:7">
      <c r="A36" s="78" t="s">
        <v>202</v>
      </c>
      <c r="B36" s="137">
        <v>26.1</v>
      </c>
      <c r="C36" s="79">
        <f t="shared" si="0"/>
        <v>25.4</v>
      </c>
      <c r="D36" s="80">
        <v>0.457471264367816</v>
      </c>
      <c r="E36" s="80">
        <v>0.0744827586206896</v>
      </c>
      <c r="F36" s="81">
        <v>0.0760919540229885</v>
      </c>
      <c r="G36" s="81">
        <v>0.262068965517241</v>
      </c>
    </row>
    <row r="37" spans="1:7">
      <c r="A37" s="78" t="s">
        <v>203</v>
      </c>
      <c r="B37" s="137">
        <v>26.5</v>
      </c>
      <c r="C37" s="79">
        <f t="shared" si="0"/>
        <v>26.1</v>
      </c>
      <c r="D37" s="80">
        <v>0.46566037735849</v>
      </c>
      <c r="E37" s="80">
        <v>0.0793962264150943</v>
      </c>
      <c r="F37" s="81">
        <v>0.0809811320754716</v>
      </c>
      <c r="G37" s="81">
        <v>0.264150943396226</v>
      </c>
    </row>
    <row r="38" spans="1:7">
      <c r="A38" s="78" t="s">
        <v>204</v>
      </c>
      <c r="B38" s="137">
        <v>27.1</v>
      </c>
      <c r="C38" s="79">
        <f t="shared" si="0"/>
        <v>26.5</v>
      </c>
      <c r="D38" s="80">
        <v>0.477490774907749</v>
      </c>
      <c r="E38" s="80">
        <v>0.0864944649446494</v>
      </c>
      <c r="F38" s="81">
        <v>0.0880442804428044</v>
      </c>
      <c r="G38" s="81">
        <v>0.267158671586716</v>
      </c>
    </row>
    <row r="39" spans="1:8">
      <c r="A39" s="78" t="s">
        <v>205</v>
      </c>
      <c r="B39" s="137">
        <v>27.7</v>
      </c>
      <c r="C39" s="79">
        <f t="shared" si="0"/>
        <v>27.1</v>
      </c>
      <c r="D39" s="80">
        <v>0.488808664259928</v>
      </c>
      <c r="E39" s="80">
        <v>0.0932851985559566</v>
      </c>
      <c r="F39" s="81">
        <v>0.0948014440433212</v>
      </c>
      <c r="G39" s="81">
        <v>0.270036101083032</v>
      </c>
      <c r="H39">
        <f>B39*(1-E39)</f>
        <v>25.116</v>
      </c>
    </row>
    <row r="40" spans="1:7">
      <c r="A40" s="78" t="s">
        <v>206</v>
      </c>
      <c r="B40" s="137">
        <v>28.2</v>
      </c>
      <c r="C40" s="79">
        <f t="shared" si="0"/>
        <v>27.7</v>
      </c>
      <c r="D40" s="80">
        <v>0.497872340425532</v>
      </c>
      <c r="E40" s="80">
        <v>0.0987234042553191</v>
      </c>
      <c r="F40" s="81">
        <v>0.100212765957447</v>
      </c>
      <c r="G40" s="81">
        <v>0.272340425531915</v>
      </c>
    </row>
    <row r="41" spans="1:8">
      <c r="A41" s="78" t="s">
        <v>207</v>
      </c>
      <c r="B41" s="137">
        <v>28.8</v>
      </c>
      <c r="C41" s="79">
        <f t="shared" si="0"/>
        <v>28.2</v>
      </c>
      <c r="D41" s="80">
        <v>0.508333333333333</v>
      </c>
      <c r="E41" s="80">
        <v>0.105</v>
      </c>
      <c r="F41" s="81">
        <v>0.106458333333333</v>
      </c>
      <c r="G41" s="81">
        <v>0.275</v>
      </c>
      <c r="H41">
        <f>B41*(1-E41)</f>
        <v>25.776</v>
      </c>
    </row>
    <row r="42" spans="1:7">
      <c r="A42" s="78" t="s">
        <v>208</v>
      </c>
      <c r="B42" s="137">
        <v>29.5</v>
      </c>
      <c r="C42" s="79">
        <f t="shared" si="0"/>
        <v>28.8</v>
      </c>
      <c r="D42" s="80">
        <v>0.52</v>
      </c>
      <c r="E42" s="80">
        <v>0.112</v>
      </c>
      <c r="F42" s="81">
        <v>0.113423728813559</v>
      </c>
      <c r="G42" s="81">
        <v>0.277966101694915</v>
      </c>
    </row>
    <row r="43" spans="1:7">
      <c r="A43" s="78" t="s">
        <v>209</v>
      </c>
      <c r="B43" s="137">
        <v>30.2</v>
      </c>
      <c r="C43" s="79">
        <f t="shared" si="0"/>
        <v>29.5</v>
      </c>
      <c r="D43" s="80">
        <v>0.53112582781457</v>
      </c>
      <c r="E43" s="80">
        <v>0.118675496688742</v>
      </c>
      <c r="F43" s="81">
        <v>0.120066225165563</v>
      </c>
      <c r="G43" s="81">
        <v>0.280794701986755</v>
      </c>
    </row>
    <row r="44" spans="1:8">
      <c r="A44" s="78" t="s">
        <v>210</v>
      </c>
      <c r="B44" s="137">
        <v>30.8</v>
      </c>
      <c r="C44" s="79">
        <f t="shared" si="0"/>
        <v>30.2</v>
      </c>
      <c r="D44" s="80">
        <v>0.54025974025974</v>
      </c>
      <c r="E44" s="80">
        <v>0.124155844155844</v>
      </c>
      <c r="F44" s="81">
        <v>0.125519480519481</v>
      </c>
      <c r="G44" s="81">
        <v>0.283116883116883</v>
      </c>
      <c r="H44">
        <f>B44*(1-E44)</f>
        <v>26.976</v>
      </c>
    </row>
    <row r="45" spans="1:8">
      <c r="A45" s="78" t="s">
        <v>211</v>
      </c>
      <c r="B45" s="137">
        <v>31.5</v>
      </c>
      <c r="C45" s="79">
        <f t="shared" si="0"/>
        <v>30.8</v>
      </c>
      <c r="D45" s="80">
        <v>0.55047619047619</v>
      </c>
      <c r="E45" s="80">
        <v>0.130285714285714</v>
      </c>
      <c r="F45" s="81">
        <v>0.131619047619048</v>
      </c>
      <c r="G45" s="81">
        <v>0.285714285714286</v>
      </c>
      <c r="H45">
        <f>B45*(1-E45)</f>
        <v>27.396</v>
      </c>
    </row>
    <row r="46" spans="1:7">
      <c r="A46" s="78" t="s">
        <v>212</v>
      </c>
      <c r="B46" s="137">
        <v>32.5</v>
      </c>
      <c r="C46" s="79">
        <f t="shared" si="0"/>
        <v>31.5</v>
      </c>
      <c r="D46" s="80">
        <v>0.564307692307692</v>
      </c>
      <c r="E46" s="80">
        <v>0.138584615384615</v>
      </c>
      <c r="F46" s="81">
        <v>0.139876923076923</v>
      </c>
      <c r="G46" s="81">
        <v>0.289230769230769</v>
      </c>
    </row>
    <row r="47" spans="1:7">
      <c r="A47" s="78" t="s">
        <v>213</v>
      </c>
      <c r="B47" s="137">
        <v>32.9</v>
      </c>
      <c r="C47" s="79">
        <f t="shared" si="0"/>
        <v>32.5</v>
      </c>
      <c r="D47" s="80">
        <v>0.569604863221884</v>
      </c>
      <c r="E47" s="80">
        <v>0.141762917933131</v>
      </c>
      <c r="F47" s="81">
        <v>0.143039513677811</v>
      </c>
      <c r="G47" s="81">
        <v>0.290577507598784</v>
      </c>
    </row>
    <row r="48" spans="1:8">
      <c r="A48" s="78" t="s">
        <v>214</v>
      </c>
      <c r="B48" s="137">
        <v>33.6</v>
      </c>
      <c r="C48" s="79">
        <f t="shared" si="0"/>
        <v>32.9</v>
      </c>
      <c r="D48" s="80">
        <v>0.578571428571429</v>
      </c>
      <c r="E48" s="80">
        <v>0.147142857142857</v>
      </c>
      <c r="F48" s="81">
        <v>0.148392857142857</v>
      </c>
      <c r="G48" s="81">
        <v>0.292857142857143</v>
      </c>
      <c r="H48">
        <f>B48*(1-E48)</f>
        <v>28.656</v>
      </c>
    </row>
    <row r="49" spans="1:7">
      <c r="A49" s="78" t="s">
        <v>215</v>
      </c>
      <c r="B49" s="137">
        <v>34.2</v>
      </c>
      <c r="C49" s="79">
        <f t="shared" si="0"/>
        <v>33.6</v>
      </c>
      <c r="D49" s="80">
        <v>0.585964912280702</v>
      </c>
      <c r="E49" s="80">
        <v>0.151578947368421</v>
      </c>
      <c r="F49" s="81">
        <v>0.15280701754386</v>
      </c>
      <c r="G49" s="81">
        <v>0.294736842105263</v>
      </c>
    </row>
    <row r="50" spans="1:7">
      <c r="A50" s="78" t="s">
        <v>216</v>
      </c>
      <c r="B50" s="137">
        <v>35.2</v>
      </c>
      <c r="C50" s="79">
        <f t="shared" si="0"/>
        <v>34.2</v>
      </c>
      <c r="D50" s="80">
        <v>0.597727272727273</v>
      </c>
      <c r="E50" s="80">
        <v>0.158636363636364</v>
      </c>
      <c r="F50" s="81">
        <v>0.159829545454545</v>
      </c>
      <c r="G50" s="81">
        <v>0.297727272727273</v>
      </c>
    </row>
    <row r="51" spans="1:8">
      <c r="A51" s="78" t="s">
        <v>217</v>
      </c>
      <c r="B51" s="137">
        <v>36.2</v>
      </c>
      <c r="C51" s="79">
        <f t="shared" si="0"/>
        <v>35.2</v>
      </c>
      <c r="D51" s="80">
        <v>0.608839779005525</v>
      </c>
      <c r="E51" s="80">
        <v>0.165303867403315</v>
      </c>
      <c r="F51" s="81">
        <v>0.16646408839779</v>
      </c>
      <c r="G51" s="81">
        <v>0.300552486187845</v>
      </c>
      <c r="H51" t="s">
        <v>232</v>
      </c>
    </row>
    <row r="52" spans="1:7">
      <c r="A52" s="78" t="s">
        <v>218</v>
      </c>
      <c r="B52" s="137">
        <v>37.1</v>
      </c>
      <c r="C52" s="79">
        <f t="shared" si="0"/>
        <v>36.2</v>
      </c>
      <c r="D52" s="80">
        <v>0.61832884097035</v>
      </c>
      <c r="E52" s="80">
        <v>0.17099730458221</v>
      </c>
      <c r="F52" s="81">
        <v>0.172129380053908</v>
      </c>
      <c r="G52" s="81">
        <v>0.302964959568733</v>
      </c>
    </row>
    <row r="53" spans="1:8">
      <c r="A53" s="78" t="s">
        <v>219</v>
      </c>
      <c r="B53" s="137">
        <v>38.2</v>
      </c>
      <c r="C53" s="79">
        <f t="shared" si="0"/>
        <v>37.1</v>
      </c>
      <c r="D53" s="80">
        <v>0.629319371727749</v>
      </c>
      <c r="E53" s="80">
        <v>0.177591623036649</v>
      </c>
      <c r="F53" s="81">
        <v>0.17869109947644</v>
      </c>
      <c r="G53" s="81">
        <v>0.305759162303665</v>
      </c>
      <c r="H53">
        <f>B53*(1-E53)</f>
        <v>31.416</v>
      </c>
    </row>
    <row r="54" spans="1:8">
      <c r="A54" s="78" t="s">
        <v>220</v>
      </c>
      <c r="B54" s="137">
        <v>39.9</v>
      </c>
      <c r="C54" s="79">
        <f t="shared" si="0"/>
        <v>38.2</v>
      </c>
      <c r="D54" s="80">
        <v>0.645112781954887</v>
      </c>
      <c r="E54" s="80">
        <v>0.187067669172932</v>
      </c>
      <c r="F54" s="81">
        <v>0.18812030075188</v>
      </c>
      <c r="G54" s="81">
        <v>0.309774436090226</v>
      </c>
      <c r="H54" t="s">
        <v>232</v>
      </c>
    </row>
    <row r="55" spans="1:7">
      <c r="A55" s="78" t="s">
        <v>221</v>
      </c>
      <c r="B55" s="137">
        <v>41.8</v>
      </c>
      <c r="C55" s="79">
        <f t="shared" si="0"/>
        <v>39.9</v>
      </c>
      <c r="D55" s="80">
        <v>0.661244019138756</v>
      </c>
      <c r="E55" s="80">
        <v>0.196746411483254</v>
      </c>
      <c r="F55" s="81">
        <v>0.197751196172249</v>
      </c>
      <c r="G55" s="81">
        <v>0.313875598086124</v>
      </c>
    </row>
    <row r="56" spans="1:7">
      <c r="A56" s="78" t="s">
        <v>221</v>
      </c>
      <c r="B56" s="82" t="s">
        <v>426</v>
      </c>
      <c r="C56" s="79">
        <f t="shared" si="0"/>
        <v>41.8</v>
      </c>
      <c r="D56" s="83"/>
      <c r="E56" s="83"/>
      <c r="F56" s="84"/>
      <c r="G56" s="84"/>
    </row>
    <row r="57" spans="1:7">
      <c r="A57" s="78"/>
      <c r="B57" s="82"/>
      <c r="C57" s="82"/>
      <c r="D57" s="83"/>
      <c r="E57" s="85">
        <v>0.0669058537814076</v>
      </c>
      <c r="F57" s="86">
        <v>0.0677417711709063</v>
      </c>
      <c r="G57" s="86">
        <v>0.225162834407346</v>
      </c>
    </row>
    <row r="58" ht="25.5" customHeight="1" spans="1:7">
      <c r="A58" s="87" t="s">
        <v>223</v>
      </c>
      <c r="B58" s="88">
        <v>10</v>
      </c>
      <c r="C58" s="82"/>
      <c r="D58" s="83"/>
      <c r="E58" s="89">
        <v>23.6</v>
      </c>
      <c r="F58" s="90">
        <v>23.4833333333333</v>
      </c>
      <c r="G58" s="91">
        <v>10</v>
      </c>
    </row>
    <row r="59" ht="24" spans="1:7">
      <c r="A59" s="87" t="s">
        <v>224</v>
      </c>
      <c r="B59" s="88">
        <v>23.9</v>
      </c>
      <c r="C59" s="82"/>
      <c r="D59" s="83"/>
      <c r="E59" s="83"/>
      <c r="F59" s="84"/>
      <c r="G59" s="84"/>
    </row>
    <row r="60" ht="36" spans="1:7">
      <c r="A60" s="92" t="s">
        <v>225</v>
      </c>
      <c r="B60" s="93">
        <v>14.34</v>
      </c>
      <c r="C60" s="78"/>
      <c r="D60" s="83"/>
      <c r="E60" s="93">
        <v>14.16</v>
      </c>
      <c r="F60" s="94">
        <v>14.09</v>
      </c>
      <c r="G60" s="94">
        <v>6</v>
      </c>
    </row>
    <row r="62" ht="26.25" customHeight="1" spans="1:2">
      <c r="A62" s="87" t="s">
        <v>224</v>
      </c>
      <c r="B62" s="47">
        <f>B59</f>
        <v>23.9</v>
      </c>
    </row>
    <row r="63" spans="1:3">
      <c r="A63" s="531" t="s">
        <v>226</v>
      </c>
      <c r="B63" s="95">
        <f>AVERAGE(B11:B50)</f>
        <v>23.6</v>
      </c>
      <c r="C63" s="95"/>
    </row>
    <row r="64" spans="1:3">
      <c r="A64" s="531" t="s">
        <v>227</v>
      </c>
      <c r="B64" s="96">
        <f>AVERAGE(B16:B45)</f>
        <v>23.4833333333333</v>
      </c>
      <c r="C64" s="96"/>
    </row>
    <row r="65" spans="1:3">
      <c r="A65" s="531" t="s">
        <v>228</v>
      </c>
      <c r="B65" s="96">
        <f>AVERAGE(B22:B40)</f>
        <v>23.6526315789474</v>
      </c>
      <c r="C65" s="96"/>
    </row>
    <row r="69" ht="18" customHeight="1" spans="1:7">
      <c r="A69" s="97" t="s">
        <v>165</v>
      </c>
      <c r="B69" s="83" t="s">
        <v>229</v>
      </c>
      <c r="C69" s="83"/>
      <c r="D69" s="83"/>
      <c r="E69" s="98">
        <f>(1-E124)^(1/3)-1</f>
        <v>-0.0221128649255123</v>
      </c>
      <c r="F69" s="98">
        <f>(1-F124)^(1/3)-1</f>
        <v>-0.0226653022099116</v>
      </c>
      <c r="G69" s="98"/>
    </row>
    <row r="70" ht="48" spans="1:7">
      <c r="A70" s="99"/>
      <c r="B70" s="93" t="s">
        <v>167</v>
      </c>
      <c r="C70" s="83"/>
      <c r="D70" s="93" t="s">
        <v>168</v>
      </c>
      <c r="E70" s="83" t="s">
        <v>169</v>
      </c>
      <c r="F70" s="84" t="s">
        <v>169</v>
      </c>
      <c r="G70" s="84"/>
    </row>
    <row r="71" spans="1:7">
      <c r="A71" s="100"/>
      <c r="B71" s="83" t="s">
        <v>230</v>
      </c>
      <c r="C71" s="83"/>
      <c r="D71" s="83" t="s">
        <v>171</v>
      </c>
      <c r="E71" s="83" t="s">
        <v>171</v>
      </c>
      <c r="F71" s="84" t="s">
        <v>171</v>
      </c>
      <c r="G71" s="84"/>
    </row>
    <row r="72" spans="1:7">
      <c r="A72" s="75">
        <v>1</v>
      </c>
      <c r="B72" s="76">
        <v>2</v>
      </c>
      <c r="C72" s="76"/>
      <c r="D72" s="76">
        <v>3</v>
      </c>
      <c r="E72" s="76">
        <v>4</v>
      </c>
      <c r="F72" s="77">
        <v>5</v>
      </c>
      <c r="G72" s="77"/>
    </row>
    <row r="73" spans="1:7">
      <c r="A73" s="530" t="s">
        <v>172</v>
      </c>
      <c r="B73" s="138">
        <v>18.6</v>
      </c>
      <c r="C73" s="102">
        <v>0</v>
      </c>
      <c r="D73" s="80">
        <v>0</v>
      </c>
      <c r="E73" s="80">
        <v>0</v>
      </c>
      <c r="F73" s="81">
        <v>0</v>
      </c>
      <c r="G73" s="81">
        <v>0.00677419354838711</v>
      </c>
    </row>
    <row r="74" spans="1:7">
      <c r="A74" s="530" t="s">
        <v>173</v>
      </c>
      <c r="B74" s="138">
        <v>21.8</v>
      </c>
      <c r="C74" s="79">
        <f>B73</f>
        <v>18.6</v>
      </c>
      <c r="D74" s="80">
        <v>0</v>
      </c>
      <c r="E74" s="80">
        <v>0</v>
      </c>
      <c r="F74" s="81">
        <v>0</v>
      </c>
      <c r="G74" s="81">
        <v>0.0204587155963303</v>
      </c>
    </row>
    <row r="75" spans="1:7">
      <c r="A75" s="530" t="s">
        <v>174</v>
      </c>
      <c r="B75" s="138">
        <v>24.4</v>
      </c>
      <c r="C75" s="79">
        <f t="shared" ref="C75:C123" si="1">B74</f>
        <v>21.8</v>
      </c>
      <c r="D75" s="80">
        <v>0</v>
      </c>
      <c r="E75" s="80">
        <v>0</v>
      </c>
      <c r="F75" s="81">
        <v>0</v>
      </c>
      <c r="G75" s="81">
        <v>0.0289344262295082</v>
      </c>
    </row>
    <row r="76" spans="1:7">
      <c r="A76" s="530" t="s">
        <v>175</v>
      </c>
      <c r="B76" s="138">
        <v>26.3</v>
      </c>
      <c r="C76" s="79">
        <f t="shared" si="1"/>
        <v>24.4</v>
      </c>
      <c r="D76" s="80">
        <v>0</v>
      </c>
      <c r="E76" s="80">
        <v>0</v>
      </c>
      <c r="F76" s="81">
        <v>0</v>
      </c>
      <c r="G76" s="81">
        <v>0.0340684410646388</v>
      </c>
    </row>
    <row r="77" spans="1:7">
      <c r="A77" s="530" t="s">
        <v>176</v>
      </c>
      <c r="B77" s="138">
        <v>28</v>
      </c>
      <c r="C77" s="79">
        <f t="shared" si="1"/>
        <v>26.3</v>
      </c>
      <c r="D77" s="80">
        <v>0</v>
      </c>
      <c r="E77" s="80">
        <v>0</v>
      </c>
      <c r="F77" s="81">
        <v>0</v>
      </c>
      <c r="G77" s="81">
        <v>0.0380714285714286</v>
      </c>
    </row>
    <row r="78" spans="1:7">
      <c r="A78" s="530" t="s">
        <v>177</v>
      </c>
      <c r="B78" s="138">
        <v>29.5</v>
      </c>
      <c r="C78" s="79">
        <f t="shared" si="1"/>
        <v>28</v>
      </c>
      <c r="D78" s="80">
        <v>0.0375084745762714</v>
      </c>
      <c r="E78" s="80"/>
      <c r="F78" s="81">
        <v>0.00465084745762712</v>
      </c>
      <c r="G78" s="81">
        <v>0.0473220338983051</v>
      </c>
    </row>
    <row r="79" spans="1:7">
      <c r="A79" s="530" t="s">
        <v>178</v>
      </c>
      <c r="B79" s="138">
        <v>30.8</v>
      </c>
      <c r="C79" s="79">
        <f t="shared" si="1"/>
        <v>29.5</v>
      </c>
      <c r="D79" s="80">
        <v>0.0781331168831172</v>
      </c>
      <c r="E79" s="80"/>
      <c r="F79" s="81">
        <v>0.00867532467532468</v>
      </c>
      <c r="G79" s="81">
        <v>0.0622077922077922</v>
      </c>
    </row>
    <row r="80" spans="1:7">
      <c r="A80" s="78" t="s">
        <v>179</v>
      </c>
      <c r="B80" s="138">
        <v>32</v>
      </c>
      <c r="C80" s="79">
        <f t="shared" si="1"/>
        <v>30.8</v>
      </c>
      <c r="D80" s="80">
        <v>0.112703125</v>
      </c>
      <c r="E80" s="80">
        <v>0.0112703125</v>
      </c>
      <c r="F80" s="81">
        <v>0.0121</v>
      </c>
      <c r="G80" s="81">
        <v>0.074875</v>
      </c>
    </row>
    <row r="81" spans="1:12">
      <c r="A81" s="78" t="s">
        <v>180</v>
      </c>
      <c r="B81" s="138">
        <v>33</v>
      </c>
      <c r="C81" s="79">
        <f t="shared" si="1"/>
        <v>32</v>
      </c>
      <c r="D81" s="80">
        <v>0.139590909090909</v>
      </c>
      <c r="E81" s="80">
        <v>0.0139590909090909</v>
      </c>
      <c r="F81" s="81">
        <v>0.0147636363636364</v>
      </c>
      <c r="G81" s="81">
        <v>0.0847272727272727</v>
      </c>
      <c r="J81">
        <v>10</v>
      </c>
      <c r="K81">
        <v>29</v>
      </c>
      <c r="L81">
        <v>30</v>
      </c>
    </row>
    <row r="82" spans="1:10">
      <c r="A82" s="78" t="s">
        <v>181</v>
      </c>
      <c r="B82" s="138">
        <v>33.8</v>
      </c>
      <c r="C82" s="79">
        <f t="shared" si="1"/>
        <v>33</v>
      </c>
      <c r="D82" s="80">
        <v>0.159955621301775</v>
      </c>
      <c r="E82" s="80">
        <v>0.0159955621301775</v>
      </c>
      <c r="F82" s="81">
        <v>0.0167810650887574</v>
      </c>
      <c r="G82" s="81">
        <v>0.092189349112426</v>
      </c>
      <c r="J82">
        <f>IF(AND(J81&lt;K81,K81&lt;L81),25,100)</f>
        <v>25</v>
      </c>
    </row>
    <row r="83" spans="1:7">
      <c r="A83" s="78" t="s">
        <v>182</v>
      </c>
      <c r="B83" s="138">
        <v>34.7</v>
      </c>
      <c r="C83" s="79">
        <f t="shared" si="1"/>
        <v>33.8</v>
      </c>
      <c r="D83" s="80">
        <v>0.181743515850144</v>
      </c>
      <c r="E83" s="80">
        <v>0.0181743515850144</v>
      </c>
      <c r="F83" s="81">
        <v>0.0189394812680115</v>
      </c>
      <c r="G83" s="81">
        <v>0.100172910662824</v>
      </c>
    </row>
    <row r="84" spans="1:7">
      <c r="A84" s="78" t="s">
        <v>183</v>
      </c>
      <c r="B84" s="138">
        <v>35.6</v>
      </c>
      <c r="C84" s="79">
        <f t="shared" si="1"/>
        <v>34.7</v>
      </c>
      <c r="D84" s="80">
        <v>0.202429775280899</v>
      </c>
      <c r="E84" s="80">
        <v>0.0202429775280899</v>
      </c>
      <c r="F84" s="81">
        <v>0.0209887640449438</v>
      </c>
      <c r="G84" s="81">
        <v>0.107752808988764</v>
      </c>
    </row>
    <row r="85" spans="1:7">
      <c r="A85" s="78" t="s">
        <v>184</v>
      </c>
      <c r="B85" s="138">
        <v>36.5</v>
      </c>
      <c r="C85" s="79">
        <f t="shared" si="1"/>
        <v>35.6</v>
      </c>
      <c r="D85" s="80">
        <v>0.222095890410959</v>
      </c>
      <c r="E85" s="80">
        <v>0.0222095890410959</v>
      </c>
      <c r="F85" s="81">
        <v>0.0229369863013699</v>
      </c>
      <c r="G85" s="81">
        <v>0.114958904109589</v>
      </c>
    </row>
    <row r="86" spans="1:7">
      <c r="A86" s="78" t="s">
        <v>185</v>
      </c>
      <c r="B86" s="138">
        <v>37.3</v>
      </c>
      <c r="C86" s="79">
        <f t="shared" si="1"/>
        <v>36.5</v>
      </c>
      <c r="D86" s="80">
        <v>0.238780160857909</v>
      </c>
      <c r="E86" s="80">
        <v>0.0238780160857909</v>
      </c>
      <c r="F86" s="81">
        <v>0.0245898123324397</v>
      </c>
      <c r="G86" s="81">
        <v>0.121072386058981</v>
      </c>
    </row>
    <row r="87" spans="1:7">
      <c r="A87" s="78" t="s">
        <v>186</v>
      </c>
      <c r="B87" s="138">
        <v>38.1</v>
      </c>
      <c r="C87" s="79">
        <f t="shared" si="1"/>
        <v>37.3</v>
      </c>
      <c r="D87" s="80">
        <v>0.254763779527559</v>
      </c>
      <c r="E87" s="80">
        <v>0.0254763779527559</v>
      </c>
      <c r="F87" s="81">
        <v>0.0261732283464567</v>
      </c>
      <c r="G87" s="81">
        <v>0.126929133858268</v>
      </c>
    </row>
    <row r="88" spans="1:7">
      <c r="A88" s="78" t="s">
        <v>187</v>
      </c>
      <c r="B88" s="138">
        <v>38.8</v>
      </c>
      <c r="C88" s="79">
        <f t="shared" si="1"/>
        <v>38.1</v>
      </c>
      <c r="D88" s="80">
        <v>0.268208762886598</v>
      </c>
      <c r="E88" s="80">
        <v>0.0268208762886598</v>
      </c>
      <c r="F88" s="81">
        <v>0.0275051546391753</v>
      </c>
      <c r="G88" s="81">
        <v>0.131855670103093</v>
      </c>
    </row>
    <row r="89" spans="1:7">
      <c r="A89" s="78" t="s">
        <v>188</v>
      </c>
      <c r="B89" s="138">
        <v>39.7</v>
      </c>
      <c r="C89" s="79">
        <f t="shared" si="1"/>
        <v>38.8</v>
      </c>
      <c r="D89" s="80">
        <v>0.284798488664988</v>
      </c>
      <c r="E89" s="80">
        <v>0.0284798488664988</v>
      </c>
      <c r="F89" s="81">
        <v>0.0291486146095718</v>
      </c>
      <c r="G89" s="81">
        <v>0.137934508816121</v>
      </c>
    </row>
    <row r="90" spans="1:7">
      <c r="A90" s="78" t="s">
        <v>189</v>
      </c>
      <c r="B90" s="138">
        <v>40.6</v>
      </c>
      <c r="C90" s="79">
        <f t="shared" si="1"/>
        <v>39.7</v>
      </c>
      <c r="D90" s="80">
        <v>0.300652709359606</v>
      </c>
      <c r="E90" s="80">
        <v>0.0300652709359606</v>
      </c>
      <c r="F90" s="81">
        <v>0.0307192118226601</v>
      </c>
      <c r="G90" s="81">
        <v>0.143743842364532</v>
      </c>
    </row>
    <row r="91" spans="1:7">
      <c r="A91" s="78" t="s">
        <v>190</v>
      </c>
      <c r="B91" s="138">
        <v>41.3</v>
      </c>
      <c r="C91" s="79">
        <f t="shared" si="1"/>
        <v>40.6</v>
      </c>
      <c r="D91" s="80">
        <v>0.312506053268765</v>
      </c>
      <c r="E91" s="80">
        <v>0.0312506053268765</v>
      </c>
      <c r="F91" s="81">
        <v>0.0318934624697337</v>
      </c>
      <c r="G91" s="81">
        <v>0.148087167070218</v>
      </c>
    </row>
    <row r="92" spans="1:7">
      <c r="A92" s="78" t="s">
        <v>191</v>
      </c>
      <c r="B92" s="138">
        <v>42.1</v>
      </c>
      <c r="C92" s="79">
        <f t="shared" si="1"/>
        <v>41.3</v>
      </c>
      <c r="D92" s="80">
        <v>0.325570071258908</v>
      </c>
      <c r="E92" s="80">
        <v>0.0325570071258908</v>
      </c>
      <c r="F92" s="81">
        <v>0.033187648456057</v>
      </c>
      <c r="G92" s="81">
        <v>0.152874109263658</v>
      </c>
    </row>
    <row r="93" spans="1:7">
      <c r="A93" s="78" t="s">
        <v>192</v>
      </c>
      <c r="B93" s="138">
        <v>42.8</v>
      </c>
      <c r="C93" s="79">
        <f t="shared" si="1"/>
        <v>42.1</v>
      </c>
      <c r="D93" s="80">
        <v>0.33660046728972</v>
      </c>
      <c r="E93" s="80">
        <v>0.033660046728972</v>
      </c>
      <c r="F93" s="81">
        <v>0.0342803738317757</v>
      </c>
      <c r="G93" s="81">
        <v>0.156915887850467</v>
      </c>
    </row>
    <row r="94" spans="1:7">
      <c r="A94" s="78" t="s">
        <v>193</v>
      </c>
      <c r="B94" s="138">
        <v>43.6</v>
      </c>
      <c r="C94" s="79">
        <f t="shared" si="1"/>
        <v>42.8</v>
      </c>
      <c r="D94" s="80">
        <v>0.348772935779817</v>
      </c>
      <c r="E94" s="80">
        <v>0.0348772935779817</v>
      </c>
      <c r="F94" s="81">
        <v>0.0354862385321101</v>
      </c>
      <c r="G94" s="81">
        <v>0.161376146788991</v>
      </c>
    </row>
    <row r="95" spans="1:7">
      <c r="A95" s="78" t="s">
        <v>194</v>
      </c>
      <c r="B95" s="138">
        <v>44.3</v>
      </c>
      <c r="C95" s="79">
        <f t="shared" si="1"/>
        <v>43.6</v>
      </c>
      <c r="D95" s="80">
        <v>0.359063205417607</v>
      </c>
      <c r="E95" s="80">
        <v>0.0359063205417607</v>
      </c>
      <c r="F95" s="81">
        <v>0.0365056433408578</v>
      </c>
      <c r="G95" s="81">
        <v>0.165146726862303</v>
      </c>
    </row>
    <row r="96" spans="1:7">
      <c r="A96" s="78" t="s">
        <v>195</v>
      </c>
      <c r="B96" s="138">
        <v>45.2</v>
      </c>
      <c r="C96" s="79">
        <f t="shared" si="1"/>
        <v>44.3</v>
      </c>
      <c r="D96" s="80">
        <v>0.371825221238938</v>
      </c>
      <c r="E96" s="80">
        <v>0.0371825221238938</v>
      </c>
      <c r="F96" s="81">
        <v>0.0377699115044248</v>
      </c>
      <c r="G96" s="81">
        <v>0.169823008849558</v>
      </c>
    </row>
    <row r="97" spans="1:7">
      <c r="A97" s="78" t="s">
        <v>196</v>
      </c>
      <c r="B97" s="138">
        <v>46</v>
      </c>
      <c r="C97" s="79">
        <f t="shared" si="1"/>
        <v>45.2</v>
      </c>
      <c r="D97" s="80">
        <v>0.38275</v>
      </c>
      <c r="E97" s="80">
        <v>0.038275</v>
      </c>
      <c r="F97" s="81">
        <v>0.0388521739130435</v>
      </c>
      <c r="G97" s="81">
        <v>0.173826086956522</v>
      </c>
    </row>
    <row r="98" spans="1:7">
      <c r="A98" s="78" t="s">
        <v>197</v>
      </c>
      <c r="B98" s="138">
        <v>46.9</v>
      </c>
      <c r="C98" s="79">
        <f t="shared" si="1"/>
        <v>46</v>
      </c>
      <c r="D98" s="80">
        <v>0.394594882729211</v>
      </c>
      <c r="E98" s="80">
        <v>0.0394594882729211</v>
      </c>
      <c r="F98" s="81">
        <v>0.0401535181236674</v>
      </c>
      <c r="G98" s="81">
        <v>0.17816631130064</v>
      </c>
    </row>
    <row r="99" spans="1:7">
      <c r="A99" s="78" t="s">
        <v>198</v>
      </c>
      <c r="B99" s="138">
        <v>47.7</v>
      </c>
      <c r="C99" s="79">
        <f t="shared" si="1"/>
        <v>46.9</v>
      </c>
      <c r="D99" s="80">
        <v>0.404748427672956</v>
      </c>
      <c r="E99" s="80">
        <v>0.0428490566037737</v>
      </c>
      <c r="F99" s="81">
        <v>0.046188679245283</v>
      </c>
      <c r="G99" s="81">
        <v>0.18188679245283</v>
      </c>
    </row>
    <row r="100" spans="1:7">
      <c r="A100" s="78" t="s">
        <v>199</v>
      </c>
      <c r="B100" s="138">
        <v>48.6</v>
      </c>
      <c r="C100" s="79">
        <f t="shared" si="1"/>
        <v>47.7</v>
      </c>
      <c r="D100" s="80">
        <v>0.415771604938272</v>
      </c>
      <c r="E100" s="80">
        <v>0.049462962962963</v>
      </c>
      <c r="F100" s="81">
        <v>0.0527407407407407</v>
      </c>
      <c r="G100" s="81">
        <v>0.185925925925926</v>
      </c>
    </row>
    <row r="101" spans="1:11">
      <c r="A101" s="78" t="s">
        <v>200</v>
      </c>
      <c r="B101" s="138">
        <v>49.5</v>
      </c>
      <c r="C101" s="79">
        <f t="shared" si="1"/>
        <v>48.6</v>
      </c>
      <c r="D101" s="80">
        <v>0.42639393939394</v>
      </c>
      <c r="E101" s="80">
        <v>0.0558363636363637</v>
      </c>
      <c r="F101" s="81">
        <v>0.0590545454545454</v>
      </c>
      <c r="G101" s="81">
        <v>0.189818181818182</v>
      </c>
      <c r="H101">
        <f>B101*(1-E101)</f>
        <v>46.7361</v>
      </c>
      <c r="J101">
        <v>1.02</v>
      </c>
      <c r="K101">
        <f>J101^3</f>
        <v>1.061208</v>
      </c>
    </row>
    <row r="102" spans="1:8">
      <c r="A102" s="78" t="s">
        <v>201</v>
      </c>
      <c r="B102" s="138">
        <v>50.4</v>
      </c>
      <c r="C102" s="79">
        <f t="shared" si="1"/>
        <v>49.5</v>
      </c>
      <c r="D102" s="80">
        <v>0.436636904761905</v>
      </c>
      <c r="E102" s="80">
        <v>0.0619821428571429</v>
      </c>
      <c r="F102" s="81">
        <v>0.0651428571428571</v>
      </c>
      <c r="G102" s="81">
        <v>0.193571428571429</v>
      </c>
      <c r="H102">
        <f>B102*(1-E102)</f>
        <v>47.2761</v>
      </c>
    </row>
    <row r="103" spans="1:7">
      <c r="A103" s="78" t="s">
        <v>202</v>
      </c>
      <c r="B103" s="138">
        <v>51.2</v>
      </c>
      <c r="C103" s="79">
        <f t="shared" si="1"/>
        <v>50.4</v>
      </c>
      <c r="D103" s="80">
        <v>0.445439453125</v>
      </c>
      <c r="E103" s="80">
        <v>0.0672636718750001</v>
      </c>
      <c r="F103" s="81">
        <v>0.070375</v>
      </c>
      <c r="G103" s="81">
        <v>0.196796875</v>
      </c>
    </row>
    <row r="104" spans="1:8">
      <c r="A104" s="78" t="s">
        <v>203</v>
      </c>
      <c r="B104" s="138">
        <v>52.2</v>
      </c>
      <c r="C104" s="79">
        <f t="shared" si="1"/>
        <v>51.2</v>
      </c>
      <c r="D104" s="80">
        <v>0.456063218390805</v>
      </c>
      <c r="E104" s="80">
        <v>0.0736379310344829</v>
      </c>
      <c r="F104" s="81">
        <v>0.0766896551724138</v>
      </c>
      <c r="G104" s="81">
        <v>0.200689655172414</v>
      </c>
      <c r="H104">
        <f>B104*(1-E104)</f>
        <v>48.3561</v>
      </c>
    </row>
    <row r="105" spans="1:7">
      <c r="A105" s="78" t="s">
        <v>204</v>
      </c>
      <c r="B105" s="138">
        <v>53.1</v>
      </c>
      <c r="C105" s="79">
        <f t="shared" si="1"/>
        <v>52.2</v>
      </c>
      <c r="D105" s="80">
        <v>0.465282485875706</v>
      </c>
      <c r="E105" s="80">
        <v>0.0791694915254238</v>
      </c>
      <c r="F105" s="81">
        <v>0.0821694915254237</v>
      </c>
      <c r="G105" s="81">
        <v>0.20406779661017</v>
      </c>
    </row>
    <row r="106" spans="1:7">
      <c r="A106" s="78" t="s">
        <v>205</v>
      </c>
      <c r="B106" s="138">
        <v>54.1</v>
      </c>
      <c r="C106" s="79">
        <f t="shared" si="1"/>
        <v>53.1</v>
      </c>
      <c r="D106" s="80">
        <v>0.475166358595194</v>
      </c>
      <c r="E106" s="80">
        <v>0.0850998151571165</v>
      </c>
      <c r="F106" s="81">
        <v>0.0880443622920518</v>
      </c>
      <c r="G106" s="81">
        <v>0.207689463955638</v>
      </c>
    </row>
    <row r="107" spans="1:7">
      <c r="A107" s="78" t="s">
        <v>206</v>
      </c>
      <c r="B107" s="138">
        <v>55</v>
      </c>
      <c r="C107" s="79">
        <f t="shared" si="1"/>
        <v>54.1</v>
      </c>
      <c r="D107" s="80">
        <v>0.483754545454546</v>
      </c>
      <c r="E107" s="80">
        <v>0.0902527272727273</v>
      </c>
      <c r="F107" s="81">
        <v>0.0931490909090909</v>
      </c>
      <c r="G107" s="81">
        <v>0.210836363636364</v>
      </c>
    </row>
    <row r="108" spans="1:8">
      <c r="A108" s="78" t="s">
        <v>207</v>
      </c>
      <c r="B108" s="138">
        <v>56</v>
      </c>
      <c r="C108" s="79">
        <f t="shared" si="1"/>
        <v>55</v>
      </c>
      <c r="D108" s="80">
        <v>0.492973214285714</v>
      </c>
      <c r="E108" s="80">
        <v>0.0957839285714286</v>
      </c>
      <c r="F108" s="81">
        <v>0.0986285714285714</v>
      </c>
      <c r="G108" s="81">
        <v>0.214214285714286</v>
      </c>
      <c r="H108">
        <f>B108*(1-E108)</f>
        <v>50.6361</v>
      </c>
    </row>
    <row r="109" spans="1:7">
      <c r="A109" s="78" t="s">
        <v>208</v>
      </c>
      <c r="B109" s="138">
        <v>57</v>
      </c>
      <c r="C109" s="79">
        <f t="shared" si="1"/>
        <v>56</v>
      </c>
      <c r="D109" s="80">
        <v>0.501868421052632</v>
      </c>
      <c r="E109" s="80">
        <v>0.101121052631579</v>
      </c>
      <c r="F109" s="81">
        <v>0.103915789473684</v>
      </c>
      <c r="G109" s="81">
        <v>0.217473684210526</v>
      </c>
    </row>
    <row r="110" spans="1:7">
      <c r="A110" s="78" t="s">
        <v>209</v>
      </c>
      <c r="B110" s="138">
        <v>58.1</v>
      </c>
      <c r="C110" s="79">
        <f t="shared" si="1"/>
        <v>57</v>
      </c>
      <c r="D110" s="80">
        <v>0.511299483648881</v>
      </c>
      <c r="E110" s="80">
        <v>0.106779690189329</v>
      </c>
      <c r="F110" s="81">
        <v>0.109521514629948</v>
      </c>
      <c r="G110" s="81">
        <v>0.220929432013769</v>
      </c>
    </row>
    <row r="111" spans="1:7">
      <c r="A111" s="78" t="s">
        <v>210</v>
      </c>
      <c r="B111" s="138">
        <v>59.3</v>
      </c>
      <c r="C111" s="79">
        <f t="shared" si="1"/>
        <v>58.1</v>
      </c>
      <c r="D111" s="80">
        <v>0.521188870151771</v>
      </c>
      <c r="E111" s="80">
        <v>0.112713322091062</v>
      </c>
      <c r="F111" s="81">
        <v>0.115399662731872</v>
      </c>
      <c r="G111" s="81">
        <v>0.224553119730186</v>
      </c>
    </row>
    <row r="112" spans="1:7">
      <c r="A112" s="78" t="s">
        <v>211</v>
      </c>
      <c r="B112" s="138">
        <v>60.7</v>
      </c>
      <c r="C112" s="79">
        <f t="shared" si="1"/>
        <v>59.3</v>
      </c>
      <c r="D112" s="80">
        <v>0.532232289950577</v>
      </c>
      <c r="E112" s="80">
        <v>0.119339373970346</v>
      </c>
      <c r="F112" s="81">
        <v>0.121963756177924</v>
      </c>
      <c r="G112" s="81">
        <v>0.228599670510708</v>
      </c>
    </row>
    <row r="113" spans="1:7">
      <c r="A113" s="78" t="s">
        <v>212</v>
      </c>
      <c r="B113" s="138">
        <v>62.1</v>
      </c>
      <c r="C113" s="79">
        <f t="shared" si="1"/>
        <v>60.7</v>
      </c>
      <c r="D113" s="80">
        <v>0.542777777777778</v>
      </c>
      <c r="E113" s="80">
        <v>0.125666666666667</v>
      </c>
      <c r="F113" s="81">
        <v>0.128231884057971</v>
      </c>
      <c r="G113" s="81">
        <v>0.232463768115942</v>
      </c>
    </row>
    <row r="114" spans="1:8">
      <c r="A114" s="78" t="s">
        <v>213</v>
      </c>
      <c r="B114" s="138">
        <v>63.6</v>
      </c>
      <c r="C114" s="79">
        <f t="shared" si="1"/>
        <v>62.1</v>
      </c>
      <c r="D114" s="80">
        <v>0.553561320754717</v>
      </c>
      <c r="E114" s="80">
        <v>0.13213679245283</v>
      </c>
      <c r="F114" s="81">
        <v>0.134641509433962</v>
      </c>
      <c r="G114" s="81">
        <v>0.236415094339623</v>
      </c>
      <c r="H114">
        <f>B114*(1-E114)</f>
        <v>55.1961</v>
      </c>
    </row>
    <row r="115" spans="1:7">
      <c r="A115" s="78" t="s">
        <v>214</v>
      </c>
      <c r="B115" s="138">
        <v>65.3</v>
      </c>
      <c r="C115" s="79">
        <f t="shared" si="1"/>
        <v>63.6</v>
      </c>
      <c r="D115" s="80">
        <v>0.565183767228178</v>
      </c>
      <c r="E115" s="80">
        <v>0.139110260336907</v>
      </c>
      <c r="F115" s="81">
        <v>0.141549770290965</v>
      </c>
      <c r="G115" s="81">
        <v>0.240673813169985</v>
      </c>
    </row>
    <row r="116" spans="1:7">
      <c r="A116" s="78" t="s">
        <v>215</v>
      </c>
      <c r="B116" s="138">
        <v>67.2</v>
      </c>
      <c r="C116" s="79">
        <f t="shared" si="1"/>
        <v>65.3</v>
      </c>
      <c r="D116" s="80">
        <v>0.577477678571429</v>
      </c>
      <c r="E116" s="80">
        <v>0.146486607142857</v>
      </c>
      <c r="F116" s="81">
        <v>0.148857142857143</v>
      </c>
      <c r="G116" s="81">
        <v>0.245178571428571</v>
      </c>
    </row>
    <row r="117" spans="1:7">
      <c r="A117" s="78" t="s">
        <v>216</v>
      </c>
      <c r="B117" s="138">
        <v>69.2</v>
      </c>
      <c r="C117" s="79">
        <f t="shared" si="1"/>
        <v>67.2</v>
      </c>
      <c r="D117" s="80">
        <v>0.589689306358382</v>
      </c>
      <c r="E117" s="80">
        <v>0.153813583815029</v>
      </c>
      <c r="F117" s="81">
        <v>0.156115606936416</v>
      </c>
      <c r="G117" s="81">
        <v>0.249653179190751</v>
      </c>
    </row>
    <row r="118" spans="1:7">
      <c r="A118" s="78" t="s">
        <v>217</v>
      </c>
      <c r="B118" s="138">
        <v>71.2</v>
      </c>
      <c r="C118" s="79">
        <f t="shared" si="1"/>
        <v>69.2</v>
      </c>
      <c r="D118" s="80">
        <v>0.60121488764045</v>
      </c>
      <c r="E118" s="80">
        <v>0.16072893258427</v>
      </c>
      <c r="F118" s="81">
        <v>0.162966292134831</v>
      </c>
      <c r="G118" s="81">
        <v>0.253876404494382</v>
      </c>
    </row>
    <row r="119" spans="1:8">
      <c r="A119" s="78" t="s">
        <v>218</v>
      </c>
      <c r="B119" s="138">
        <v>73.1</v>
      </c>
      <c r="C119" s="79">
        <f t="shared" si="1"/>
        <v>71.2</v>
      </c>
      <c r="D119" s="80">
        <v>0.611580027359781</v>
      </c>
      <c r="E119" s="80">
        <v>0.166948016415869</v>
      </c>
      <c r="F119" s="81">
        <v>0.169127222982216</v>
      </c>
      <c r="G119" s="81">
        <v>0.257674418604651</v>
      </c>
      <c r="H119">
        <f>B119*(1-E119)</f>
        <v>60.8961</v>
      </c>
    </row>
    <row r="120" spans="1:7">
      <c r="A120" s="78" t="s">
        <v>219</v>
      </c>
      <c r="B120" s="138">
        <v>75.4</v>
      </c>
      <c r="C120" s="79">
        <f t="shared" si="1"/>
        <v>73.1</v>
      </c>
      <c r="D120" s="80">
        <v>0.623428381962865</v>
      </c>
      <c r="E120" s="80">
        <v>0.174057029177719</v>
      </c>
      <c r="F120" s="81">
        <v>0.17616976127321</v>
      </c>
      <c r="G120" s="81">
        <v>0.262015915119363</v>
      </c>
    </row>
    <row r="121" spans="1:7">
      <c r="A121" s="78" t="s">
        <v>220</v>
      </c>
      <c r="B121" s="138">
        <v>78.1</v>
      </c>
      <c r="C121" s="79">
        <f t="shared" si="1"/>
        <v>75.4</v>
      </c>
      <c r="D121" s="80">
        <v>0.636446862996159</v>
      </c>
      <c r="E121" s="80">
        <v>0.181868117797695</v>
      </c>
      <c r="F121" s="81">
        <v>0.18390781049936</v>
      </c>
      <c r="G121" s="81">
        <v>0.266786171574904</v>
      </c>
    </row>
    <row r="122" spans="1:7">
      <c r="A122" s="78" t="s">
        <v>221</v>
      </c>
      <c r="B122" s="138">
        <v>81.4</v>
      </c>
      <c r="C122" s="79">
        <f t="shared" si="1"/>
        <v>78.1</v>
      </c>
      <c r="D122" s="80">
        <v>0.651185503685504</v>
      </c>
      <c r="E122" s="80">
        <v>0.190711302211302</v>
      </c>
      <c r="F122" s="81">
        <v>0.192668304668305</v>
      </c>
      <c r="G122" s="81">
        <v>0.272186732186732</v>
      </c>
    </row>
    <row r="123" spans="1:7">
      <c r="A123" s="78" t="s">
        <v>221</v>
      </c>
      <c r="B123" s="78" t="s">
        <v>357</v>
      </c>
      <c r="C123" s="79">
        <f t="shared" si="1"/>
        <v>81.4</v>
      </c>
      <c r="D123" s="83" t="s">
        <v>232</v>
      </c>
      <c r="E123" s="83"/>
      <c r="F123" s="84"/>
      <c r="G123" s="84"/>
    </row>
    <row r="124" spans="1:7">
      <c r="A124" s="78"/>
      <c r="B124" s="78"/>
      <c r="C124" s="78"/>
      <c r="D124" s="83"/>
      <c r="E124" s="85">
        <v>0.0648824711129451</v>
      </c>
      <c r="F124" s="86">
        <v>0.0664664023836086</v>
      </c>
      <c r="G124" s="86">
        <v>0.163484820128159</v>
      </c>
    </row>
    <row r="125" ht="26.25" customHeight="1" spans="1:7">
      <c r="A125" s="87" t="s">
        <v>233</v>
      </c>
      <c r="B125" s="93">
        <v>28.9</v>
      </c>
      <c r="C125" s="78"/>
      <c r="D125" s="83"/>
      <c r="E125" s="119">
        <v>47.3225</v>
      </c>
      <c r="F125" s="90">
        <v>46.88</v>
      </c>
      <c r="G125" s="120">
        <v>28.9</v>
      </c>
    </row>
    <row r="126" ht="27.75" customHeight="1" spans="1:7">
      <c r="A126" s="87" t="s">
        <v>224</v>
      </c>
      <c r="B126" s="93">
        <v>48.1</v>
      </c>
      <c r="C126" s="78"/>
      <c r="D126" s="83"/>
      <c r="E126" s="93"/>
      <c r="F126" s="94"/>
      <c r="G126" s="94"/>
    </row>
    <row r="127" ht="37.5" customHeight="1" spans="1:7">
      <c r="A127" s="106" t="s">
        <v>225</v>
      </c>
      <c r="B127" s="93">
        <v>27.7</v>
      </c>
      <c r="C127" s="78"/>
      <c r="D127" s="83"/>
      <c r="E127" s="93">
        <v>28.3935</v>
      </c>
      <c r="F127" s="94">
        <v>28.128</v>
      </c>
      <c r="G127" s="94">
        <v>17.34</v>
      </c>
    </row>
    <row r="129" ht="30" customHeight="1" spans="1:2">
      <c r="A129" s="87" t="s">
        <v>224</v>
      </c>
      <c r="B129" s="47">
        <f>B126</f>
        <v>48.1</v>
      </c>
    </row>
    <row r="130" spans="1:3">
      <c r="A130" s="531" t="s">
        <v>226</v>
      </c>
      <c r="B130" s="95">
        <f>AVERAGE(B78:B117)</f>
        <v>47.3225</v>
      </c>
      <c r="C130" s="95"/>
    </row>
    <row r="131" spans="1:3">
      <c r="A131" s="531" t="s">
        <v>227</v>
      </c>
      <c r="B131" s="96">
        <f>AVERAGE(B83:B112)</f>
        <v>46.88</v>
      </c>
      <c r="C131" s="96"/>
    </row>
    <row r="132" spans="1:3">
      <c r="A132" s="531" t="s">
        <v>228</v>
      </c>
      <c r="B132" s="96">
        <f>AVERAGE(B89:B107)</f>
        <v>47.0684210526316</v>
      </c>
      <c r="C132" s="96"/>
    </row>
    <row r="134" spans="1:7">
      <c r="A134" s="83" t="s">
        <v>165</v>
      </c>
      <c r="B134" s="83" t="s">
        <v>347</v>
      </c>
      <c r="C134" s="83"/>
      <c r="D134" s="83"/>
      <c r="E134" s="86">
        <f>(1-E189)^(1/3)-1</f>
        <v>-0.0293060685297987</v>
      </c>
      <c r="F134" s="86">
        <f>(1-F189)^(1/3)-1</f>
        <v>-0.032747105052</v>
      </c>
      <c r="G134" s="86"/>
    </row>
    <row r="135" ht="48" spans="1:7">
      <c r="A135" s="83"/>
      <c r="B135" s="83" t="s">
        <v>167</v>
      </c>
      <c r="C135" s="107"/>
      <c r="D135" s="83" t="s">
        <v>168</v>
      </c>
      <c r="E135" s="83" t="s">
        <v>169</v>
      </c>
      <c r="F135" s="84" t="s">
        <v>169</v>
      </c>
      <c r="G135" s="84"/>
    </row>
    <row r="136" spans="1:7">
      <c r="A136" s="83"/>
      <c r="B136" s="83" t="s">
        <v>235</v>
      </c>
      <c r="C136" s="107"/>
      <c r="D136" s="83" t="s">
        <v>171</v>
      </c>
      <c r="E136" s="83" t="s">
        <v>171</v>
      </c>
      <c r="F136" s="84" t="s">
        <v>171</v>
      </c>
      <c r="G136" s="84"/>
    </row>
    <row r="137" spans="1:7">
      <c r="A137" s="108">
        <v>1</v>
      </c>
      <c r="B137" s="109">
        <v>2</v>
      </c>
      <c r="C137" s="76"/>
      <c r="D137" s="109">
        <v>3</v>
      </c>
      <c r="E137" s="109">
        <v>4</v>
      </c>
      <c r="F137" s="110">
        <v>5</v>
      </c>
      <c r="G137" s="110"/>
    </row>
    <row r="138" spans="1:7">
      <c r="A138" s="530" t="s">
        <v>172</v>
      </c>
      <c r="B138" s="111">
        <v>0.35</v>
      </c>
      <c r="C138" s="112">
        <v>0</v>
      </c>
      <c r="D138" s="113">
        <v>0</v>
      </c>
      <c r="E138" s="80">
        <v>0</v>
      </c>
      <c r="F138" s="81">
        <v>0</v>
      </c>
      <c r="G138" s="81">
        <v>0</v>
      </c>
    </row>
    <row r="139" spans="1:7">
      <c r="A139" s="530" t="s">
        <v>173</v>
      </c>
      <c r="B139" s="111">
        <v>0.39</v>
      </c>
      <c r="C139" s="79">
        <f>B138</f>
        <v>0.35</v>
      </c>
      <c r="D139" s="113">
        <v>0</v>
      </c>
      <c r="E139" s="80">
        <v>0</v>
      </c>
      <c r="F139" s="81">
        <v>0</v>
      </c>
      <c r="G139" s="81">
        <v>0</v>
      </c>
    </row>
    <row r="140" spans="1:7">
      <c r="A140" s="530" t="s">
        <v>174</v>
      </c>
      <c r="B140" s="111">
        <v>0.43</v>
      </c>
      <c r="C140" s="79">
        <f t="shared" ref="C140:C188" si="2">B139</f>
        <v>0.39</v>
      </c>
      <c r="D140" s="113">
        <v>0</v>
      </c>
      <c r="E140" s="80">
        <v>0</v>
      </c>
      <c r="F140" s="81">
        <v>0</v>
      </c>
      <c r="G140" s="81">
        <v>0</v>
      </c>
    </row>
    <row r="141" spans="1:7">
      <c r="A141" s="530" t="s">
        <v>175</v>
      </c>
      <c r="B141" s="111">
        <v>0.47</v>
      </c>
      <c r="C141" s="79">
        <f t="shared" si="2"/>
        <v>0.43</v>
      </c>
      <c r="D141" s="113">
        <v>0</v>
      </c>
      <c r="E141" s="80">
        <v>0</v>
      </c>
      <c r="F141" s="81">
        <v>0</v>
      </c>
      <c r="G141" s="81">
        <v>0</v>
      </c>
    </row>
    <row r="142" spans="1:7">
      <c r="A142" s="530" t="s">
        <v>176</v>
      </c>
      <c r="B142" s="111">
        <v>0.52</v>
      </c>
      <c r="C142" s="79">
        <f t="shared" si="2"/>
        <v>0.47</v>
      </c>
      <c r="D142" s="113">
        <v>0</v>
      </c>
      <c r="E142" s="80">
        <v>0</v>
      </c>
      <c r="F142" s="81">
        <v>0</v>
      </c>
      <c r="G142" s="81">
        <v>0</v>
      </c>
    </row>
    <row r="143" spans="1:7">
      <c r="A143" s="530" t="s">
        <v>177</v>
      </c>
      <c r="B143" s="111">
        <v>0.54</v>
      </c>
      <c r="C143" s="79">
        <f t="shared" si="2"/>
        <v>0.52</v>
      </c>
      <c r="D143" s="113">
        <v>0</v>
      </c>
      <c r="E143" s="80">
        <v>0</v>
      </c>
      <c r="F143" s="81">
        <v>0</v>
      </c>
      <c r="G143" s="81">
        <v>0</v>
      </c>
    </row>
    <row r="144" spans="1:7">
      <c r="A144" s="530" t="s">
        <v>178</v>
      </c>
      <c r="B144" s="111">
        <v>0.58</v>
      </c>
      <c r="C144" s="79">
        <f t="shared" si="2"/>
        <v>0.54</v>
      </c>
      <c r="D144" s="113">
        <v>0</v>
      </c>
      <c r="E144" s="80">
        <v>0</v>
      </c>
      <c r="F144" s="81">
        <v>0</v>
      </c>
      <c r="G144" s="81">
        <v>0</v>
      </c>
    </row>
    <row r="145" spans="1:7">
      <c r="A145" s="78" t="s">
        <v>179</v>
      </c>
      <c r="B145" s="111">
        <v>0.62</v>
      </c>
      <c r="C145" s="79">
        <f t="shared" si="2"/>
        <v>0.58</v>
      </c>
      <c r="D145" s="113">
        <v>0</v>
      </c>
      <c r="E145" s="80">
        <v>0</v>
      </c>
      <c r="F145" s="81">
        <v>0</v>
      </c>
      <c r="G145" s="81">
        <v>0</v>
      </c>
    </row>
    <row r="146" spans="1:7">
      <c r="A146" s="78" t="s">
        <v>180</v>
      </c>
      <c r="B146" s="111">
        <v>0.66</v>
      </c>
      <c r="C146" s="79">
        <f t="shared" si="2"/>
        <v>0.62</v>
      </c>
      <c r="D146" s="113">
        <v>0</v>
      </c>
      <c r="E146" s="80">
        <v>0</v>
      </c>
      <c r="F146" s="81">
        <v>0</v>
      </c>
      <c r="G146" s="81">
        <v>0</v>
      </c>
    </row>
    <row r="147" spans="1:7">
      <c r="A147" s="78" t="s">
        <v>181</v>
      </c>
      <c r="B147" s="111">
        <v>0.7</v>
      </c>
      <c r="C147" s="79">
        <f t="shared" si="2"/>
        <v>0.66</v>
      </c>
      <c r="D147" s="113">
        <v>0</v>
      </c>
      <c r="E147" s="80">
        <v>0</v>
      </c>
      <c r="F147" s="81">
        <v>0</v>
      </c>
      <c r="G147" s="81">
        <v>0</v>
      </c>
    </row>
    <row r="148" spans="1:7">
      <c r="A148" s="78" t="s">
        <v>182</v>
      </c>
      <c r="B148" s="111">
        <v>0.74</v>
      </c>
      <c r="C148" s="79">
        <f t="shared" si="2"/>
        <v>0.7</v>
      </c>
      <c r="D148" s="113">
        <v>0</v>
      </c>
      <c r="E148" s="80">
        <v>0</v>
      </c>
      <c r="F148" s="81">
        <v>0</v>
      </c>
      <c r="G148" s="81">
        <v>0</v>
      </c>
    </row>
    <row r="149" spans="1:7">
      <c r="A149" s="78" t="s">
        <v>183</v>
      </c>
      <c r="B149" s="111">
        <v>0.78</v>
      </c>
      <c r="C149" s="79">
        <f t="shared" si="2"/>
        <v>0.74</v>
      </c>
      <c r="D149" s="113">
        <v>0</v>
      </c>
      <c r="E149" s="80">
        <v>0</v>
      </c>
      <c r="F149" s="81">
        <v>0</v>
      </c>
      <c r="G149" s="81">
        <v>0</v>
      </c>
    </row>
    <row r="150" spans="1:7">
      <c r="A150" s="78" t="s">
        <v>184</v>
      </c>
      <c r="B150" s="111">
        <v>0.83</v>
      </c>
      <c r="C150" s="79">
        <f t="shared" si="2"/>
        <v>0.78</v>
      </c>
      <c r="D150" s="113">
        <v>0</v>
      </c>
      <c r="E150" s="80">
        <v>0</v>
      </c>
      <c r="F150" s="81">
        <v>0</v>
      </c>
      <c r="G150" s="81">
        <v>0</v>
      </c>
    </row>
    <row r="151" spans="1:7">
      <c r="A151" s="78" t="s">
        <v>185</v>
      </c>
      <c r="B151" s="111">
        <v>0.88</v>
      </c>
      <c r="C151" s="79">
        <f t="shared" si="2"/>
        <v>0.83</v>
      </c>
      <c r="D151" s="113">
        <v>0</v>
      </c>
      <c r="E151" s="80">
        <v>0</v>
      </c>
      <c r="F151" s="81">
        <v>0</v>
      </c>
      <c r="G151" s="81">
        <v>0</v>
      </c>
    </row>
    <row r="152" spans="1:7">
      <c r="A152" s="78" t="s">
        <v>186</v>
      </c>
      <c r="B152" s="111">
        <v>0.93</v>
      </c>
      <c r="C152" s="79">
        <f t="shared" si="2"/>
        <v>0.88</v>
      </c>
      <c r="D152" s="113">
        <v>0</v>
      </c>
      <c r="E152" s="80">
        <v>0</v>
      </c>
      <c r="F152" s="81">
        <v>0</v>
      </c>
      <c r="G152" s="81">
        <v>0</v>
      </c>
    </row>
    <row r="153" spans="1:7">
      <c r="A153" s="78" t="s">
        <v>187</v>
      </c>
      <c r="B153" s="111">
        <v>0.97</v>
      </c>
      <c r="C153" s="79">
        <f t="shared" si="2"/>
        <v>0.93</v>
      </c>
      <c r="D153" s="113">
        <v>0</v>
      </c>
      <c r="E153" s="80">
        <v>0</v>
      </c>
      <c r="F153" s="81">
        <v>0</v>
      </c>
      <c r="G153" s="81">
        <v>0</v>
      </c>
    </row>
    <row r="154" spans="1:7">
      <c r="A154" s="78" t="s">
        <v>188</v>
      </c>
      <c r="B154" s="111">
        <v>1.02</v>
      </c>
      <c r="C154" s="79">
        <f t="shared" si="2"/>
        <v>0.97</v>
      </c>
      <c r="D154" s="113">
        <v>0</v>
      </c>
      <c r="E154" s="80">
        <v>0</v>
      </c>
      <c r="F154" s="81">
        <v>0.00376470588235295</v>
      </c>
      <c r="G154" s="81">
        <v>0</v>
      </c>
    </row>
    <row r="155" spans="1:7">
      <c r="A155" s="78" t="s">
        <v>189</v>
      </c>
      <c r="B155" s="111">
        <v>1.06</v>
      </c>
      <c r="C155" s="79">
        <f t="shared" si="2"/>
        <v>1.02</v>
      </c>
      <c r="D155" s="113">
        <v>0</v>
      </c>
      <c r="E155" s="80">
        <v>0</v>
      </c>
      <c r="F155" s="81">
        <v>0.00739622641509435</v>
      </c>
      <c r="G155" s="81">
        <v>0</v>
      </c>
    </row>
    <row r="156" spans="1:7">
      <c r="A156" s="78" t="s">
        <v>190</v>
      </c>
      <c r="B156" s="111">
        <v>1.11</v>
      </c>
      <c r="C156" s="79">
        <f t="shared" si="2"/>
        <v>1.06</v>
      </c>
      <c r="D156" s="113">
        <v>0.0339189189189189</v>
      </c>
      <c r="E156" s="80"/>
      <c r="F156" s="81">
        <v>0.0115675675675676</v>
      </c>
      <c r="G156" s="81">
        <v>0</v>
      </c>
    </row>
    <row r="157" spans="1:7">
      <c r="A157" s="78" t="s">
        <v>191</v>
      </c>
      <c r="B157" s="111">
        <v>1.15</v>
      </c>
      <c r="C157" s="79">
        <f t="shared" si="2"/>
        <v>1.11</v>
      </c>
      <c r="D157" s="113">
        <v>0.0675217391304346</v>
      </c>
      <c r="E157" s="80"/>
      <c r="F157" s="81">
        <v>0.0146434782608696</v>
      </c>
      <c r="G157" s="81">
        <v>0</v>
      </c>
    </row>
    <row r="158" spans="1:7">
      <c r="A158" s="78" t="s">
        <v>192</v>
      </c>
      <c r="B158" s="111">
        <v>1.19</v>
      </c>
      <c r="C158" s="79">
        <f t="shared" si="2"/>
        <v>1.15</v>
      </c>
      <c r="D158" s="113">
        <v>0.0988655462184872</v>
      </c>
      <c r="E158" s="80">
        <v>0.00988655462184872</v>
      </c>
      <c r="F158" s="81">
        <v>0.0175126050420168</v>
      </c>
      <c r="G158" s="81">
        <v>0</v>
      </c>
    </row>
    <row r="159" spans="1:7">
      <c r="A159" s="78" t="s">
        <v>193</v>
      </c>
      <c r="B159" s="111">
        <v>1.22</v>
      </c>
      <c r="C159" s="79">
        <f t="shared" si="2"/>
        <v>1.19</v>
      </c>
      <c r="D159" s="113">
        <v>0.121024590163934</v>
      </c>
      <c r="E159" s="80">
        <v>0.0121024590163934</v>
      </c>
      <c r="F159" s="81">
        <v>0.0195409836065574</v>
      </c>
      <c r="G159" s="81">
        <v>0</v>
      </c>
    </row>
    <row r="160" spans="1:7">
      <c r="A160" s="78" t="s">
        <v>194</v>
      </c>
      <c r="B160" s="111">
        <v>1.32</v>
      </c>
      <c r="C160" s="79">
        <f t="shared" si="2"/>
        <v>1.22</v>
      </c>
      <c r="D160" s="113">
        <v>0.187613636363636</v>
      </c>
      <c r="E160" s="80">
        <v>0.0187613636363636</v>
      </c>
      <c r="F160" s="81">
        <v>0.0256363636363636</v>
      </c>
      <c r="G160" s="81">
        <v>0</v>
      </c>
    </row>
    <row r="161" spans="1:7">
      <c r="A161" s="78" t="s">
        <v>195</v>
      </c>
      <c r="B161" s="111">
        <v>1.42</v>
      </c>
      <c r="C161" s="79">
        <f t="shared" si="2"/>
        <v>1.32</v>
      </c>
      <c r="D161" s="113">
        <v>0.244823943661972</v>
      </c>
      <c r="E161" s="80">
        <v>0.0244823943661972</v>
      </c>
      <c r="F161" s="81">
        <v>0.0308732394366197</v>
      </c>
      <c r="G161" s="81">
        <v>0</v>
      </c>
    </row>
    <row r="162" spans="1:7">
      <c r="A162" s="78" t="s">
        <v>196</v>
      </c>
      <c r="B162" s="111">
        <v>1.48</v>
      </c>
      <c r="C162" s="79">
        <f t="shared" si="2"/>
        <v>1.42</v>
      </c>
      <c r="D162" s="113">
        <v>0.275439189189189</v>
      </c>
      <c r="E162" s="80">
        <v>0.0275439189189189</v>
      </c>
      <c r="F162" s="81">
        <v>0.0336756756756757</v>
      </c>
      <c r="G162" s="81">
        <v>0.00351351351351352</v>
      </c>
    </row>
    <row r="163" spans="1:7">
      <c r="A163" s="78" t="s">
        <v>197</v>
      </c>
      <c r="B163" s="111">
        <v>1.56</v>
      </c>
      <c r="C163" s="79">
        <f t="shared" si="2"/>
        <v>1.48</v>
      </c>
      <c r="D163" s="113">
        <v>0.312596153846154</v>
      </c>
      <c r="E163" s="80">
        <v>0.0312596153846154</v>
      </c>
      <c r="F163" s="81">
        <v>0.0370769230769231</v>
      </c>
      <c r="G163" s="81">
        <v>0.00846153846153847</v>
      </c>
    </row>
    <row r="164" spans="1:7">
      <c r="A164" s="78" t="s">
        <v>198</v>
      </c>
      <c r="B164" s="111">
        <v>1.62</v>
      </c>
      <c r="C164" s="79">
        <f t="shared" si="2"/>
        <v>1.56</v>
      </c>
      <c r="D164" s="113">
        <v>0.338055555555555</v>
      </c>
      <c r="E164" s="80">
        <v>0.0338055555555556</v>
      </c>
      <c r="F164" s="81">
        <v>0.0394074074074074</v>
      </c>
      <c r="G164" s="81">
        <v>0.0118518518518519</v>
      </c>
    </row>
    <row r="165" spans="1:7">
      <c r="A165" s="78" t="s">
        <v>199</v>
      </c>
      <c r="B165" s="111">
        <v>1.69</v>
      </c>
      <c r="C165" s="79">
        <f t="shared" si="2"/>
        <v>1.62</v>
      </c>
      <c r="D165" s="113">
        <v>0.365473372781065</v>
      </c>
      <c r="E165" s="80">
        <v>0.0365473372781065</v>
      </c>
      <c r="F165" s="81">
        <v>0.0515029585798817</v>
      </c>
      <c r="G165" s="81">
        <v>0.0155029585798817</v>
      </c>
    </row>
    <row r="166" spans="1:7">
      <c r="A166" s="78" t="s">
        <v>200</v>
      </c>
      <c r="B166" s="111">
        <v>1.76</v>
      </c>
      <c r="C166" s="79">
        <f t="shared" si="2"/>
        <v>1.69</v>
      </c>
      <c r="D166" s="113">
        <v>0.390710227272727</v>
      </c>
      <c r="E166" s="80">
        <v>0.0390710227272727</v>
      </c>
      <c r="F166" s="81">
        <v>0.0653636363636364</v>
      </c>
      <c r="G166" s="81">
        <v>0.0188636363636364</v>
      </c>
    </row>
    <row r="167" spans="1:7">
      <c r="A167" s="78" t="s">
        <v>201</v>
      </c>
      <c r="B167" s="111">
        <v>1.84</v>
      </c>
      <c r="C167" s="79">
        <f t="shared" si="2"/>
        <v>1.76</v>
      </c>
      <c r="D167" s="113">
        <v>0.417201086956522</v>
      </c>
      <c r="E167" s="80">
        <v>0.050320652173913</v>
      </c>
      <c r="F167" s="81">
        <v>0.0799130434782609</v>
      </c>
      <c r="G167" s="81">
        <v>0.0223913043478261</v>
      </c>
    </row>
    <row r="168" spans="1:7">
      <c r="A168" s="78" t="s">
        <v>202</v>
      </c>
      <c r="B168" s="111">
        <v>1.94</v>
      </c>
      <c r="C168" s="79">
        <f t="shared" si="2"/>
        <v>1.84</v>
      </c>
      <c r="D168" s="113">
        <v>0.447242268041237</v>
      </c>
      <c r="E168" s="80">
        <v>0.0683453608247422</v>
      </c>
      <c r="F168" s="81">
        <v>0.0964123711340206</v>
      </c>
      <c r="G168" s="81">
        <v>0.0263917525773196</v>
      </c>
    </row>
    <row r="169" spans="1:7">
      <c r="A169" s="78" t="s">
        <v>203</v>
      </c>
      <c r="B169" s="111">
        <v>2.03</v>
      </c>
      <c r="C169" s="79">
        <f t="shared" si="2"/>
        <v>1.94</v>
      </c>
      <c r="D169" s="113">
        <v>0.471748768472906</v>
      </c>
      <c r="E169" s="80">
        <v>0.0830492610837438</v>
      </c>
      <c r="F169" s="81">
        <v>0.109871921182266</v>
      </c>
      <c r="G169" s="81">
        <v>0.0296551724137931</v>
      </c>
    </row>
    <row r="170" spans="1:7">
      <c r="A170" s="78" t="s">
        <v>204</v>
      </c>
      <c r="B170" s="111">
        <v>2.11</v>
      </c>
      <c r="C170" s="79">
        <f t="shared" si="2"/>
        <v>2.03</v>
      </c>
      <c r="D170" s="113">
        <v>0.491777251184834</v>
      </c>
      <c r="E170" s="80">
        <v>0.0950663507109004</v>
      </c>
      <c r="F170" s="81">
        <v>0.120872037914692</v>
      </c>
      <c r="G170" s="81">
        <v>0.0323222748815166</v>
      </c>
    </row>
    <row r="171" spans="1:7">
      <c r="A171" s="78" t="s">
        <v>205</v>
      </c>
      <c r="B171" s="111">
        <v>2.22</v>
      </c>
      <c r="C171" s="79">
        <f t="shared" si="2"/>
        <v>2.11</v>
      </c>
      <c r="D171" s="113">
        <v>0.516959459459459</v>
      </c>
      <c r="E171" s="80">
        <v>0.110175675675676</v>
      </c>
      <c r="F171" s="81">
        <v>0.134702702702703</v>
      </c>
      <c r="G171" s="81">
        <v>0.0356756756756757</v>
      </c>
    </row>
    <row r="172" spans="1:7">
      <c r="A172" s="78" t="s">
        <v>206</v>
      </c>
      <c r="B172" s="111">
        <v>2.33</v>
      </c>
      <c r="C172" s="79">
        <f t="shared" si="2"/>
        <v>2.22</v>
      </c>
      <c r="D172" s="113">
        <v>0.539763948497854</v>
      </c>
      <c r="E172" s="80">
        <v>0.123858369098712</v>
      </c>
      <c r="F172" s="81">
        <v>0.147227467811159</v>
      </c>
      <c r="G172" s="81">
        <v>0.0387124463519313</v>
      </c>
    </row>
    <row r="173" spans="1:7">
      <c r="A173" s="78" t="s">
        <v>207</v>
      </c>
      <c r="B173" s="111">
        <v>2.43</v>
      </c>
      <c r="C173" s="79">
        <f t="shared" si="2"/>
        <v>2.33</v>
      </c>
      <c r="D173" s="113">
        <v>0.558703703703704</v>
      </c>
      <c r="E173" s="80">
        <v>0.135222222222222</v>
      </c>
      <c r="F173" s="81">
        <v>0.15762962962963</v>
      </c>
      <c r="G173" s="81">
        <v>0.0474074074074074</v>
      </c>
    </row>
    <row r="174" spans="1:7">
      <c r="A174" s="78" t="s">
        <v>208</v>
      </c>
      <c r="B174" s="111">
        <v>2.61</v>
      </c>
      <c r="C174" s="79">
        <f t="shared" si="2"/>
        <v>2.43</v>
      </c>
      <c r="D174" s="113">
        <v>0.589137931034483</v>
      </c>
      <c r="E174" s="80">
        <v>0.15348275862069</v>
      </c>
      <c r="F174" s="81">
        <v>0.174344827586207</v>
      </c>
      <c r="G174" s="81">
        <v>0.0717241379310345</v>
      </c>
    </row>
    <row r="175" spans="1:7">
      <c r="A175" s="78" t="s">
        <v>209</v>
      </c>
      <c r="B175" s="111">
        <v>2.79</v>
      </c>
      <c r="C175" s="79">
        <f t="shared" si="2"/>
        <v>2.61</v>
      </c>
      <c r="D175" s="113">
        <v>0.615645161290323</v>
      </c>
      <c r="E175" s="80">
        <v>0.169387096774194</v>
      </c>
      <c r="F175" s="81">
        <v>0.188903225806452</v>
      </c>
      <c r="G175" s="81">
        <v>0.0929032258064516</v>
      </c>
    </row>
    <row r="176" spans="1:7">
      <c r="A176" s="78" t="s">
        <v>210</v>
      </c>
      <c r="B176" s="111">
        <v>2.94</v>
      </c>
      <c r="C176" s="79">
        <f t="shared" si="2"/>
        <v>2.79</v>
      </c>
      <c r="D176" s="113">
        <v>0.635255102040816</v>
      </c>
      <c r="E176" s="80">
        <v>0.18115306122449</v>
      </c>
      <c r="F176" s="81">
        <v>0.199673469387755</v>
      </c>
      <c r="G176" s="81">
        <v>0.108571428571429</v>
      </c>
    </row>
    <row r="177" spans="1:7">
      <c r="A177" s="78" t="s">
        <v>211</v>
      </c>
      <c r="B177" s="111">
        <v>3.11</v>
      </c>
      <c r="C177" s="79">
        <f t="shared" si="2"/>
        <v>2.94</v>
      </c>
      <c r="D177" s="113">
        <v>0.655192926045016</v>
      </c>
      <c r="E177" s="80">
        <v>0.19311575562701</v>
      </c>
      <c r="F177" s="81">
        <v>0.210623794212219</v>
      </c>
      <c r="G177" s="81">
        <v>0.124501607717042</v>
      </c>
    </row>
    <row r="178" spans="1:7">
      <c r="A178" s="78" t="s">
        <v>212</v>
      </c>
      <c r="B178" s="111">
        <v>3.28</v>
      </c>
      <c r="C178" s="79">
        <f t="shared" si="2"/>
        <v>3.11</v>
      </c>
      <c r="D178" s="113">
        <v>0.673064024390244</v>
      </c>
      <c r="E178" s="80">
        <v>0.203838414634146</v>
      </c>
      <c r="F178" s="81">
        <v>0.220439024390244</v>
      </c>
      <c r="G178" s="81">
        <v>0.138780487804878</v>
      </c>
    </row>
    <row r="179" spans="1:7">
      <c r="A179" s="78" t="s">
        <v>213</v>
      </c>
      <c r="B179" s="111">
        <v>3.52</v>
      </c>
      <c r="C179" s="79">
        <f t="shared" si="2"/>
        <v>3.28</v>
      </c>
      <c r="D179" s="113">
        <v>0.695355113636364</v>
      </c>
      <c r="E179" s="80">
        <v>0.217213068181818</v>
      </c>
      <c r="F179" s="81">
        <v>0.232681818181818</v>
      </c>
      <c r="G179" s="81">
        <v>0.156590909090909</v>
      </c>
    </row>
    <row r="180" spans="1:7">
      <c r="A180" s="78" t="s">
        <v>214</v>
      </c>
      <c r="B180" s="111">
        <v>3.8</v>
      </c>
      <c r="C180" s="79">
        <f t="shared" si="2"/>
        <v>3.52</v>
      </c>
      <c r="D180" s="113">
        <v>0.717802631578947</v>
      </c>
      <c r="E180" s="80">
        <v>0.230681578947368</v>
      </c>
      <c r="F180" s="81">
        <v>0.245010526315789</v>
      </c>
      <c r="G180" s="81">
        <v>0.174526315789474</v>
      </c>
    </row>
    <row r="181" spans="1:7">
      <c r="A181" s="78" t="s">
        <v>215</v>
      </c>
      <c r="B181" s="111">
        <v>4.15</v>
      </c>
      <c r="C181" s="79">
        <f t="shared" si="2"/>
        <v>3.8</v>
      </c>
      <c r="D181" s="113">
        <v>0.741602409638554</v>
      </c>
      <c r="E181" s="80">
        <v>0.244961445783133</v>
      </c>
      <c r="F181" s="81">
        <v>0.258081927710843</v>
      </c>
      <c r="G181" s="81">
        <v>0.193542168674699</v>
      </c>
    </row>
    <row r="182" spans="1:7">
      <c r="A182" s="78" t="s">
        <v>216</v>
      </c>
      <c r="B182" s="111">
        <v>4.56</v>
      </c>
      <c r="C182" s="79">
        <f t="shared" si="2"/>
        <v>4.15</v>
      </c>
      <c r="D182" s="113">
        <v>0.764835526315789</v>
      </c>
      <c r="E182" s="80">
        <v>0.258901315789474</v>
      </c>
      <c r="F182" s="81">
        <v>0.270842105263158</v>
      </c>
      <c r="G182" s="81">
        <v>0.212105263157895</v>
      </c>
    </row>
    <row r="183" spans="1:7">
      <c r="A183" s="78" t="s">
        <v>217</v>
      </c>
      <c r="B183" s="111">
        <v>5.17</v>
      </c>
      <c r="C183" s="79">
        <f t="shared" si="2"/>
        <v>4.56</v>
      </c>
      <c r="D183" s="113">
        <v>0.792582205029014</v>
      </c>
      <c r="E183" s="80">
        <v>0.275549323017408</v>
      </c>
      <c r="F183" s="81">
        <v>0.286081237911025</v>
      </c>
      <c r="G183" s="81">
        <v>0.234274661508704</v>
      </c>
    </row>
    <row r="184" spans="1:7">
      <c r="A184" s="78" t="s">
        <v>218</v>
      </c>
      <c r="B184" s="111">
        <v>5.97</v>
      </c>
      <c r="C184" s="79">
        <f t="shared" si="2"/>
        <v>5.17</v>
      </c>
      <c r="D184" s="113">
        <v>0.820376884422111</v>
      </c>
      <c r="E184" s="80">
        <v>0.292226130653266</v>
      </c>
      <c r="F184" s="81">
        <v>0.301346733668342</v>
      </c>
      <c r="G184" s="81">
        <v>0.256482412060301</v>
      </c>
    </row>
    <row r="185" spans="1:7">
      <c r="A185" s="78" t="s">
        <v>219</v>
      </c>
      <c r="B185" s="111">
        <v>6.53</v>
      </c>
      <c r="C185" s="79">
        <f t="shared" si="2"/>
        <v>5.97</v>
      </c>
      <c r="D185" s="113">
        <v>0.835781010719755</v>
      </c>
      <c r="E185" s="80">
        <v>0.301468606431853</v>
      </c>
      <c r="F185" s="81">
        <v>0.309807044410414</v>
      </c>
      <c r="G185" s="81">
        <v>0.268790199081164</v>
      </c>
    </row>
    <row r="186" spans="1:7">
      <c r="A186" s="78" t="s">
        <v>220</v>
      </c>
      <c r="B186" s="111">
        <v>7.21</v>
      </c>
      <c r="C186" s="79">
        <f t="shared" si="2"/>
        <v>6.53</v>
      </c>
      <c r="D186" s="113">
        <v>0.85126907073509</v>
      </c>
      <c r="E186" s="80">
        <v>0.310761442441054</v>
      </c>
      <c r="F186" s="81">
        <v>0.318313453536755</v>
      </c>
      <c r="G186" s="81">
        <v>0.281165048543689</v>
      </c>
    </row>
    <row r="187" spans="1:7">
      <c r="A187" s="78" t="s">
        <v>221</v>
      </c>
      <c r="B187" s="111">
        <v>8.69</v>
      </c>
      <c r="C187" s="79">
        <f t="shared" si="2"/>
        <v>7.21</v>
      </c>
      <c r="D187" s="113">
        <v>0.876599539700806</v>
      </c>
      <c r="E187" s="80">
        <v>0.325959723820483</v>
      </c>
      <c r="F187" s="81">
        <v>0.332225546605293</v>
      </c>
      <c r="G187" s="81">
        <v>0.301403912543153</v>
      </c>
    </row>
    <row r="188" spans="1:7">
      <c r="A188" s="78" t="s">
        <v>221</v>
      </c>
      <c r="B188" s="78" t="s">
        <v>427</v>
      </c>
      <c r="C188" s="79">
        <f t="shared" si="2"/>
        <v>8.69</v>
      </c>
      <c r="D188" s="114"/>
      <c r="E188" s="83"/>
      <c r="F188" s="84"/>
      <c r="G188" s="84"/>
    </row>
    <row r="189" ht="15.75" spans="1:7">
      <c r="A189" s="115"/>
      <c r="B189" s="78"/>
      <c r="C189" s="116"/>
      <c r="D189" s="117"/>
      <c r="E189" s="85">
        <v>0.0853668380209301</v>
      </c>
      <c r="F189" s="86">
        <v>0.0950593135958002</v>
      </c>
      <c r="G189" s="86">
        <v>0.0581222262141343</v>
      </c>
    </row>
    <row r="190" ht="16.5" customHeight="1" spans="1:7">
      <c r="A190" s="87" t="s">
        <v>233</v>
      </c>
      <c r="B190" s="78">
        <v>2.38</v>
      </c>
      <c r="C190" s="116"/>
      <c r="D190" s="117"/>
      <c r="E190" s="119">
        <v>1.78725</v>
      </c>
      <c r="F190" s="90">
        <v>1.636</v>
      </c>
      <c r="G190" s="120">
        <v>2.38</v>
      </c>
    </row>
    <row r="191" ht="25.5" customHeight="1" spans="1:7">
      <c r="A191" s="87" t="s">
        <v>224</v>
      </c>
      <c r="B191" s="78">
        <v>2.19</v>
      </c>
      <c r="C191" s="116"/>
      <c r="D191" s="83"/>
      <c r="E191" s="93"/>
      <c r="F191" s="94"/>
      <c r="G191" s="94"/>
    </row>
    <row r="192" ht="37.5" customHeight="1" spans="1:7">
      <c r="A192" s="106" t="s">
        <v>225</v>
      </c>
      <c r="B192" s="93">
        <v>1.31</v>
      </c>
      <c r="C192" s="116"/>
      <c r="D192" s="83"/>
      <c r="E192" s="93">
        <v>1.07235</v>
      </c>
      <c r="F192" s="94">
        <v>0.9816</v>
      </c>
      <c r="G192" s="94">
        <v>1.428</v>
      </c>
    </row>
    <row r="195" spans="1:3">
      <c r="A195" s="531" t="s">
        <v>226</v>
      </c>
      <c r="B195" s="95">
        <f>AVERAGE(B143:B182)</f>
        <v>1.78725</v>
      </c>
      <c r="C195" s="95"/>
    </row>
    <row r="196" spans="1:3">
      <c r="A196" s="531" t="s">
        <v>227</v>
      </c>
      <c r="B196" s="96">
        <f>AVERAGE(B148:B177)</f>
        <v>1.636</v>
      </c>
      <c r="C196" s="96"/>
    </row>
    <row r="197" spans="1:3">
      <c r="A197" s="531" t="s">
        <v>228</v>
      </c>
      <c r="B197" s="96">
        <f>AVERAGE(B154:B172)</f>
        <v>1.58263157894737</v>
      </c>
      <c r="C197" s="96"/>
    </row>
    <row r="200" customHeight="1" spans="1:7">
      <c r="A200" s="97" t="s">
        <v>165</v>
      </c>
      <c r="B200" s="83" t="s">
        <v>234</v>
      </c>
      <c r="C200" s="83"/>
      <c r="D200" s="83"/>
      <c r="E200" s="86">
        <f>(1-E255)^(1/3)-1</f>
        <v>-0.0285086789475828</v>
      </c>
      <c r="F200" s="86">
        <f>(1-F255)^(1/3)-1</f>
        <v>-0.0319796240383703</v>
      </c>
      <c r="G200" s="86"/>
    </row>
    <row r="201" ht="46.5" customHeight="1" spans="1:7">
      <c r="A201" s="99"/>
      <c r="B201" s="93" t="s">
        <v>167</v>
      </c>
      <c r="C201" s="83"/>
      <c r="D201" s="93" t="s">
        <v>168</v>
      </c>
      <c r="E201" s="83" t="s">
        <v>169</v>
      </c>
      <c r="F201" s="84" t="s">
        <v>169</v>
      </c>
      <c r="G201" s="84"/>
    </row>
    <row r="202" spans="1:7">
      <c r="A202" s="100"/>
      <c r="B202" s="83" t="s">
        <v>235</v>
      </c>
      <c r="C202" s="83"/>
      <c r="D202" s="83" t="s">
        <v>171</v>
      </c>
      <c r="E202" s="532" t="s">
        <v>227</v>
      </c>
      <c r="F202" s="122"/>
      <c r="G202" s="123"/>
    </row>
    <row r="203" spans="1:7">
      <c r="A203" s="75">
        <v>1</v>
      </c>
      <c r="B203" s="76">
        <v>2</v>
      </c>
      <c r="C203" s="76"/>
      <c r="D203" s="76">
        <v>3</v>
      </c>
      <c r="E203" s="76">
        <v>4</v>
      </c>
      <c r="F203" s="77">
        <v>5</v>
      </c>
      <c r="G203" s="77"/>
    </row>
    <row r="204" spans="1:7">
      <c r="A204" s="530" t="s">
        <v>172</v>
      </c>
      <c r="B204" s="124">
        <v>0.51</v>
      </c>
      <c r="C204" s="89">
        <v>0</v>
      </c>
      <c r="D204" s="80">
        <v>0</v>
      </c>
      <c r="E204" s="80">
        <v>0</v>
      </c>
      <c r="F204" s="81">
        <v>0</v>
      </c>
      <c r="G204" s="81">
        <v>0</v>
      </c>
    </row>
    <row r="205" spans="1:7">
      <c r="A205" s="530" t="s">
        <v>173</v>
      </c>
      <c r="B205" s="124">
        <v>0.6</v>
      </c>
      <c r="C205" s="79">
        <f>B204</f>
        <v>0.51</v>
      </c>
      <c r="D205" s="80">
        <v>0</v>
      </c>
      <c r="E205" s="80">
        <v>0</v>
      </c>
      <c r="F205" s="81">
        <v>0</v>
      </c>
      <c r="G205" s="81">
        <v>0</v>
      </c>
    </row>
    <row r="206" spans="1:7">
      <c r="A206" s="530" t="s">
        <v>174</v>
      </c>
      <c r="B206" s="124">
        <v>0.68</v>
      </c>
      <c r="C206" s="79">
        <f t="shared" ref="C206:C254" si="3">B205</f>
        <v>0.6</v>
      </c>
      <c r="D206" s="80">
        <v>0</v>
      </c>
      <c r="E206" s="80">
        <v>0</v>
      </c>
      <c r="F206" s="81">
        <v>0</v>
      </c>
      <c r="G206" s="81">
        <v>0</v>
      </c>
    </row>
    <row r="207" spans="1:7">
      <c r="A207" s="530" t="s">
        <v>175</v>
      </c>
      <c r="B207" s="124">
        <v>0.76</v>
      </c>
      <c r="C207" s="79">
        <f t="shared" si="3"/>
        <v>0.68</v>
      </c>
      <c r="D207" s="80">
        <v>0</v>
      </c>
      <c r="E207" s="80">
        <v>0</v>
      </c>
      <c r="F207" s="81">
        <v>0</v>
      </c>
      <c r="G207" s="81">
        <v>0</v>
      </c>
    </row>
    <row r="208" spans="1:7">
      <c r="A208" s="530" t="s">
        <v>176</v>
      </c>
      <c r="B208" s="124">
        <v>0.86</v>
      </c>
      <c r="C208" s="79">
        <f t="shared" si="3"/>
        <v>0.76</v>
      </c>
      <c r="D208" s="80">
        <v>0</v>
      </c>
      <c r="E208" s="80">
        <v>0</v>
      </c>
      <c r="F208" s="81">
        <v>0</v>
      </c>
      <c r="G208" s="81">
        <v>0</v>
      </c>
    </row>
    <row r="209" spans="1:7">
      <c r="A209" s="530" t="s">
        <v>177</v>
      </c>
      <c r="B209" s="124">
        <v>0.94</v>
      </c>
      <c r="C209" s="79">
        <f t="shared" si="3"/>
        <v>0.86</v>
      </c>
      <c r="D209" s="80">
        <v>0</v>
      </c>
      <c r="E209" s="80">
        <v>0</v>
      </c>
      <c r="F209" s="81">
        <v>0</v>
      </c>
      <c r="G209" s="81">
        <v>0</v>
      </c>
    </row>
    <row r="210" spans="1:7">
      <c r="A210" s="530" t="s">
        <v>178</v>
      </c>
      <c r="B210" s="124">
        <v>1.01</v>
      </c>
      <c r="C210" s="79">
        <f t="shared" si="3"/>
        <v>0.94</v>
      </c>
      <c r="D210" s="80">
        <v>0</v>
      </c>
      <c r="E210" s="80">
        <v>0</v>
      </c>
      <c r="F210" s="81">
        <v>0</v>
      </c>
      <c r="G210" s="81">
        <v>0</v>
      </c>
    </row>
    <row r="211" spans="1:7">
      <c r="A211" s="78" t="s">
        <v>179</v>
      </c>
      <c r="B211" s="124">
        <v>1.08</v>
      </c>
      <c r="C211" s="79">
        <f t="shared" si="3"/>
        <v>1.01</v>
      </c>
      <c r="D211" s="80">
        <v>0</v>
      </c>
      <c r="E211" s="80">
        <v>0</v>
      </c>
      <c r="F211" s="81">
        <v>0</v>
      </c>
      <c r="G211" s="81">
        <v>0</v>
      </c>
    </row>
    <row r="212" spans="1:7">
      <c r="A212" s="78" t="s">
        <v>180</v>
      </c>
      <c r="B212" s="124">
        <v>1.16</v>
      </c>
      <c r="C212" s="79">
        <f t="shared" si="3"/>
        <v>1.08</v>
      </c>
      <c r="D212" s="80">
        <v>0</v>
      </c>
      <c r="E212" s="80">
        <v>0</v>
      </c>
      <c r="F212" s="81">
        <v>0</v>
      </c>
      <c r="G212" s="81">
        <v>0</v>
      </c>
    </row>
    <row r="213" spans="1:7">
      <c r="A213" s="78" t="s">
        <v>181</v>
      </c>
      <c r="B213" s="124">
        <v>1.22</v>
      </c>
      <c r="C213" s="79">
        <f t="shared" si="3"/>
        <v>1.16</v>
      </c>
      <c r="D213" s="80">
        <v>0</v>
      </c>
      <c r="E213" s="80">
        <v>0</v>
      </c>
      <c r="F213" s="81">
        <v>0</v>
      </c>
      <c r="G213" s="81">
        <v>0</v>
      </c>
    </row>
    <row r="214" spans="1:7">
      <c r="A214" s="78" t="s">
        <v>182</v>
      </c>
      <c r="B214" s="124">
        <v>1.29</v>
      </c>
      <c r="C214" s="79">
        <f t="shared" si="3"/>
        <v>1.22</v>
      </c>
      <c r="D214" s="80">
        <v>0</v>
      </c>
      <c r="E214" s="80">
        <v>0</v>
      </c>
      <c r="F214" s="81">
        <v>0</v>
      </c>
      <c r="G214" s="81">
        <v>0</v>
      </c>
    </row>
    <row r="215" spans="1:7">
      <c r="A215" s="78" t="s">
        <v>183</v>
      </c>
      <c r="B215" s="124">
        <v>1.35</v>
      </c>
      <c r="C215" s="79">
        <f t="shared" si="3"/>
        <v>1.29</v>
      </c>
      <c r="D215" s="80">
        <v>0</v>
      </c>
      <c r="E215" s="80">
        <v>0</v>
      </c>
      <c r="F215" s="81">
        <v>0</v>
      </c>
      <c r="G215" s="81">
        <v>0</v>
      </c>
    </row>
    <row r="216" spans="1:7">
      <c r="A216" s="78" t="s">
        <v>184</v>
      </c>
      <c r="B216" s="124">
        <v>1.42</v>
      </c>
      <c r="C216" s="79">
        <f t="shared" si="3"/>
        <v>1.35</v>
      </c>
      <c r="D216" s="80">
        <v>0</v>
      </c>
      <c r="E216" s="80">
        <v>0</v>
      </c>
      <c r="F216" s="81">
        <v>0</v>
      </c>
      <c r="G216" s="81">
        <v>0</v>
      </c>
    </row>
    <row r="217" spans="1:7">
      <c r="A217" s="78" t="s">
        <v>185</v>
      </c>
      <c r="B217" s="124">
        <v>1.5</v>
      </c>
      <c r="C217" s="79">
        <f t="shared" si="3"/>
        <v>1.42</v>
      </c>
      <c r="D217" s="80">
        <v>0</v>
      </c>
      <c r="E217" s="80">
        <v>0</v>
      </c>
      <c r="F217" s="81">
        <v>0.00228000000000002</v>
      </c>
      <c r="G217" s="81">
        <v>0.0048</v>
      </c>
    </row>
    <row r="218" spans="1:7">
      <c r="A218" s="78" t="s">
        <v>186</v>
      </c>
      <c r="B218" s="124">
        <v>1.55</v>
      </c>
      <c r="C218" s="79">
        <f t="shared" si="3"/>
        <v>1.5</v>
      </c>
      <c r="D218" s="80">
        <v>0</v>
      </c>
      <c r="E218" s="80">
        <v>0</v>
      </c>
      <c r="F218" s="81">
        <v>0.00543225806451615</v>
      </c>
      <c r="G218" s="81">
        <v>0.00787096774193549</v>
      </c>
    </row>
    <row r="219" spans="1:7">
      <c r="A219" s="78" t="s">
        <v>187</v>
      </c>
      <c r="B219" s="124">
        <v>1.61</v>
      </c>
      <c r="C219" s="79">
        <f t="shared" si="3"/>
        <v>1.55</v>
      </c>
      <c r="D219" s="80">
        <v>0.0100000000000001</v>
      </c>
      <c r="E219" s="80"/>
      <c r="F219" s="81">
        <v>0.00895652173913046</v>
      </c>
      <c r="G219" s="81">
        <v>0.011304347826087</v>
      </c>
    </row>
    <row r="220" spans="1:7">
      <c r="A220" s="78" t="s">
        <v>188</v>
      </c>
      <c r="B220" s="124">
        <v>1.66</v>
      </c>
      <c r="C220" s="79">
        <f t="shared" si="3"/>
        <v>1.61</v>
      </c>
      <c r="D220" s="80">
        <v>0.0398192771084338</v>
      </c>
      <c r="E220" s="80"/>
      <c r="F220" s="81">
        <v>0.0116987951807229</v>
      </c>
      <c r="G220" s="81">
        <v>0.0139759036144578</v>
      </c>
    </row>
    <row r="221" spans="1:7">
      <c r="A221" s="78" t="s">
        <v>189</v>
      </c>
      <c r="B221" s="124">
        <v>1.72</v>
      </c>
      <c r="C221" s="79">
        <f t="shared" si="3"/>
        <v>1.66</v>
      </c>
      <c r="D221" s="80">
        <v>0.0733139534883721</v>
      </c>
      <c r="E221" s="80"/>
      <c r="F221" s="81">
        <v>0.0147790697674419</v>
      </c>
      <c r="G221" s="81">
        <v>0.0169767441860465</v>
      </c>
    </row>
    <row r="222" spans="1:7">
      <c r="A222" s="78" t="s">
        <v>190</v>
      </c>
      <c r="B222" s="124">
        <v>1.77</v>
      </c>
      <c r="C222" s="79">
        <f t="shared" si="3"/>
        <v>1.72</v>
      </c>
      <c r="D222" s="80">
        <v>0.0994915254237289</v>
      </c>
      <c r="E222" s="80">
        <v>0.00994915254237289</v>
      </c>
      <c r="F222" s="81">
        <v>0.0171864406779661</v>
      </c>
      <c r="G222" s="81">
        <v>0.0193220338983051</v>
      </c>
    </row>
    <row r="223" spans="1:7">
      <c r="A223" s="78" t="s">
        <v>191</v>
      </c>
      <c r="B223" s="124">
        <v>1.85</v>
      </c>
      <c r="C223" s="79">
        <f t="shared" si="3"/>
        <v>1.77</v>
      </c>
      <c r="D223" s="80">
        <v>0.138432432432433</v>
      </c>
      <c r="E223" s="80">
        <v>0.0138432432432433</v>
      </c>
      <c r="F223" s="81">
        <v>0.0207675675675676</v>
      </c>
      <c r="G223" s="81">
        <v>0.0228108108108108</v>
      </c>
    </row>
    <row r="224" spans="1:7">
      <c r="A224" s="78" t="s">
        <v>192</v>
      </c>
      <c r="B224" s="124">
        <v>1.93</v>
      </c>
      <c r="C224" s="79">
        <f t="shared" si="3"/>
        <v>1.85</v>
      </c>
      <c r="D224" s="80">
        <v>0.174145077720207</v>
      </c>
      <c r="E224" s="80">
        <v>0.0174145077720207</v>
      </c>
      <c r="F224" s="81">
        <v>0.0240518134715026</v>
      </c>
      <c r="G224" s="81">
        <v>0.0260103626943005</v>
      </c>
    </row>
    <row r="225" spans="1:7">
      <c r="A225" s="78" t="s">
        <v>193</v>
      </c>
      <c r="B225" s="124">
        <v>1.99</v>
      </c>
      <c r="C225" s="79">
        <f t="shared" si="3"/>
        <v>1.93</v>
      </c>
      <c r="D225" s="80">
        <v>0.199045226130653</v>
      </c>
      <c r="E225" s="80">
        <v>0.0199045226130653</v>
      </c>
      <c r="F225" s="81">
        <v>0.0263417085427136</v>
      </c>
      <c r="G225" s="81">
        <v>0.0282412060301508</v>
      </c>
    </row>
    <row r="226" spans="1:7">
      <c r="A226" s="78" t="s">
        <v>194</v>
      </c>
      <c r="B226" s="124">
        <v>2.06</v>
      </c>
      <c r="C226" s="79">
        <f t="shared" si="3"/>
        <v>1.99</v>
      </c>
      <c r="D226" s="80">
        <v>0.22626213592233</v>
      </c>
      <c r="E226" s="80">
        <v>0.022626213592233</v>
      </c>
      <c r="F226" s="81">
        <v>0.0288446601941748</v>
      </c>
      <c r="G226" s="81">
        <v>0.0306796116504854</v>
      </c>
    </row>
    <row r="227" spans="1:7">
      <c r="A227" s="78" t="s">
        <v>195</v>
      </c>
      <c r="B227" s="124">
        <v>2.14</v>
      </c>
      <c r="C227" s="79">
        <f t="shared" si="3"/>
        <v>2.06</v>
      </c>
      <c r="D227" s="80">
        <v>0.255186915887851</v>
      </c>
      <c r="E227" s="80">
        <v>0.0255186915887851</v>
      </c>
      <c r="F227" s="81">
        <v>0.0315046728971963</v>
      </c>
      <c r="G227" s="81">
        <v>0.0332710280373832</v>
      </c>
    </row>
    <row r="228" spans="1:7">
      <c r="A228" s="78" t="s">
        <v>196</v>
      </c>
      <c r="B228" s="124">
        <v>2.22</v>
      </c>
      <c r="C228" s="79">
        <f t="shared" si="3"/>
        <v>2.14</v>
      </c>
      <c r="D228" s="80">
        <v>0.282027027027027</v>
      </c>
      <c r="E228" s="80">
        <v>0.0282027027027027</v>
      </c>
      <c r="F228" s="81">
        <v>0.033972972972973</v>
      </c>
      <c r="G228" s="81">
        <v>0.0356756756756757</v>
      </c>
    </row>
    <row r="229" spans="1:7">
      <c r="A229" s="78" t="s">
        <v>197</v>
      </c>
      <c r="B229" s="124">
        <v>2.31</v>
      </c>
      <c r="C229" s="79">
        <f t="shared" si="3"/>
        <v>2.22</v>
      </c>
      <c r="D229" s="80">
        <v>0.31</v>
      </c>
      <c r="E229" s="80">
        <v>0.031</v>
      </c>
      <c r="F229" s="81">
        <v>0.0365454545454546</v>
      </c>
      <c r="G229" s="81">
        <v>0.0381818181818182</v>
      </c>
    </row>
    <row r="230" spans="1:7">
      <c r="A230" s="78" t="s">
        <v>198</v>
      </c>
      <c r="B230" s="124">
        <v>2.39</v>
      </c>
      <c r="C230" s="79">
        <f t="shared" si="3"/>
        <v>2.31</v>
      </c>
      <c r="D230" s="80">
        <v>0.333096234309624</v>
      </c>
      <c r="E230" s="80">
        <v>0.0333096234309624</v>
      </c>
      <c r="F230" s="81">
        <v>0.0386694560669456</v>
      </c>
      <c r="G230" s="81">
        <v>0.0415062761506277</v>
      </c>
    </row>
    <row r="231" spans="1:7">
      <c r="A231" s="78" t="s">
        <v>199</v>
      </c>
      <c r="B231" s="124">
        <v>2.51</v>
      </c>
      <c r="C231" s="79">
        <f t="shared" si="3"/>
        <v>2.39</v>
      </c>
      <c r="D231" s="80">
        <v>0.364980079681275</v>
      </c>
      <c r="E231" s="80">
        <v>0.0364980079681275</v>
      </c>
      <c r="F231" s="81">
        <v>0.0496095617529881</v>
      </c>
      <c r="G231" s="81">
        <v>0.0586454183266932</v>
      </c>
    </row>
    <row r="232" spans="1:7">
      <c r="A232" s="78" t="s">
        <v>200</v>
      </c>
      <c r="B232" s="124">
        <v>2.62</v>
      </c>
      <c r="C232" s="79">
        <f t="shared" si="3"/>
        <v>2.51</v>
      </c>
      <c r="D232" s="80">
        <v>0.391641221374046</v>
      </c>
      <c r="E232" s="80">
        <v>0.0391641221374046</v>
      </c>
      <c r="F232" s="81">
        <v>0.064320610687023</v>
      </c>
      <c r="G232" s="81">
        <v>0.0729770992366413</v>
      </c>
    </row>
    <row r="233" spans="1:7">
      <c r="A233" s="78" t="s">
        <v>201</v>
      </c>
      <c r="B233" s="124">
        <v>2.71</v>
      </c>
      <c r="C233" s="79">
        <f t="shared" si="3"/>
        <v>2.62</v>
      </c>
      <c r="D233" s="80">
        <v>0.411845018450185</v>
      </c>
      <c r="E233" s="80">
        <v>0.0471070110701107</v>
      </c>
      <c r="F233" s="81">
        <v>0.0754686346863469</v>
      </c>
      <c r="G233" s="81">
        <v>0.0838376383763838</v>
      </c>
    </row>
    <row r="234" spans="1:7">
      <c r="A234" s="78" t="s">
        <v>202</v>
      </c>
      <c r="B234" s="124">
        <v>2.8</v>
      </c>
      <c r="C234" s="79">
        <f t="shared" si="3"/>
        <v>2.71</v>
      </c>
      <c r="D234" s="80">
        <v>0.43075</v>
      </c>
      <c r="E234" s="80">
        <v>0.05845</v>
      </c>
      <c r="F234" s="81">
        <v>0.0859</v>
      </c>
      <c r="G234" s="81">
        <v>0.094</v>
      </c>
    </row>
    <row r="235" spans="1:7">
      <c r="A235" s="78" t="s">
        <v>203</v>
      </c>
      <c r="B235" s="124">
        <v>2.93</v>
      </c>
      <c r="C235" s="79">
        <f t="shared" si="3"/>
        <v>2.8</v>
      </c>
      <c r="D235" s="80">
        <v>0.456006825938567</v>
      </c>
      <c r="E235" s="80">
        <v>0.07360409556314</v>
      </c>
      <c r="F235" s="81">
        <v>0.0998361774744028</v>
      </c>
      <c r="G235" s="81">
        <v>0.107576791808874</v>
      </c>
    </row>
    <row r="236" spans="1:7">
      <c r="A236" s="78" t="s">
        <v>204</v>
      </c>
      <c r="B236" s="124">
        <v>3.04</v>
      </c>
      <c r="C236" s="79">
        <f t="shared" si="3"/>
        <v>2.93</v>
      </c>
      <c r="D236" s="80">
        <v>0.475690789473684</v>
      </c>
      <c r="E236" s="80">
        <v>0.0854144736842106</v>
      </c>
      <c r="F236" s="81">
        <v>0.110697368421053</v>
      </c>
      <c r="G236" s="81">
        <v>0.118157894736842</v>
      </c>
    </row>
    <row r="237" spans="1:7">
      <c r="A237" s="78" t="s">
        <v>205</v>
      </c>
      <c r="B237" s="124">
        <v>3.14</v>
      </c>
      <c r="C237" s="79">
        <f t="shared" si="3"/>
        <v>3.04</v>
      </c>
      <c r="D237" s="80">
        <v>0.492388535031847</v>
      </c>
      <c r="E237" s="80">
        <v>0.0954331210191083</v>
      </c>
      <c r="F237" s="81">
        <v>0.119910828025478</v>
      </c>
      <c r="G237" s="81">
        <v>0.127133757961783</v>
      </c>
    </row>
    <row r="238" spans="1:7">
      <c r="A238" s="78" t="s">
        <v>206</v>
      </c>
      <c r="B238" s="124">
        <v>3.29</v>
      </c>
      <c r="C238" s="79">
        <f t="shared" si="3"/>
        <v>3.14</v>
      </c>
      <c r="D238" s="80">
        <v>0.515531914893617</v>
      </c>
      <c r="E238" s="80">
        <v>0.10931914893617</v>
      </c>
      <c r="F238" s="81">
        <v>0.13268085106383</v>
      </c>
      <c r="G238" s="81">
        <v>0.139574468085106</v>
      </c>
    </row>
    <row r="239" spans="1:7">
      <c r="A239" s="78" t="s">
        <v>207</v>
      </c>
      <c r="B239" s="124">
        <v>3.47</v>
      </c>
      <c r="C239" s="79">
        <f t="shared" si="3"/>
        <v>3.29</v>
      </c>
      <c r="D239" s="80">
        <v>0.540662824207493</v>
      </c>
      <c r="E239" s="80">
        <v>0.124397694524496</v>
      </c>
      <c r="F239" s="81">
        <v>0.146547550432277</v>
      </c>
      <c r="G239" s="81">
        <v>0.153083573487032</v>
      </c>
    </row>
    <row r="240" spans="1:7">
      <c r="A240" s="78" t="s">
        <v>208</v>
      </c>
      <c r="B240" s="124">
        <v>3.66</v>
      </c>
      <c r="C240" s="79">
        <f t="shared" si="3"/>
        <v>3.47</v>
      </c>
      <c r="D240" s="80">
        <v>0.564508196721312</v>
      </c>
      <c r="E240" s="80">
        <v>0.138704918032787</v>
      </c>
      <c r="F240" s="81">
        <v>0.159704918032787</v>
      </c>
      <c r="G240" s="81">
        <v>0.165901639344262</v>
      </c>
    </row>
    <row r="241" spans="1:7">
      <c r="A241" s="78" t="s">
        <v>209</v>
      </c>
      <c r="B241" s="124">
        <v>3.9</v>
      </c>
      <c r="C241" s="79">
        <f t="shared" si="3"/>
        <v>3.66</v>
      </c>
      <c r="D241" s="80">
        <v>0.591307692307692</v>
      </c>
      <c r="E241" s="80">
        <v>0.154784615384615</v>
      </c>
      <c r="F241" s="81">
        <v>0.174492307692308</v>
      </c>
      <c r="G241" s="81">
        <v>0.180307692307692</v>
      </c>
    </row>
    <row r="242" spans="1:7">
      <c r="A242" s="78" t="s">
        <v>210</v>
      </c>
      <c r="B242" s="124">
        <v>4.11</v>
      </c>
      <c r="C242" s="79">
        <f t="shared" si="3"/>
        <v>3.9</v>
      </c>
      <c r="D242" s="80">
        <v>0.612189781021898</v>
      </c>
      <c r="E242" s="80">
        <v>0.167313868613139</v>
      </c>
      <c r="F242" s="81">
        <v>0.186014598540146</v>
      </c>
      <c r="G242" s="81">
        <v>0.191532846715328</v>
      </c>
    </row>
    <row r="243" spans="1:7">
      <c r="A243" s="78" t="s">
        <v>211</v>
      </c>
      <c r="B243" s="124">
        <v>4.35</v>
      </c>
      <c r="C243" s="79">
        <f t="shared" si="3"/>
        <v>4.11</v>
      </c>
      <c r="D243" s="80">
        <v>0.633586206896552</v>
      </c>
      <c r="E243" s="80">
        <v>0.180151724137931</v>
      </c>
      <c r="F243" s="81">
        <v>0.197820689655172</v>
      </c>
      <c r="G243" s="81">
        <v>0.203034482758621</v>
      </c>
    </row>
    <row r="244" spans="1:7">
      <c r="A244" s="78" t="s">
        <v>212</v>
      </c>
      <c r="B244" s="124">
        <v>4.66</v>
      </c>
      <c r="C244" s="79">
        <f t="shared" si="3"/>
        <v>4.35</v>
      </c>
      <c r="D244" s="80">
        <v>0.657961373390558</v>
      </c>
      <c r="E244" s="80">
        <v>0.194776824034335</v>
      </c>
      <c r="F244" s="81">
        <v>0.211270386266094</v>
      </c>
      <c r="G244" s="81">
        <v>0.216137339055794</v>
      </c>
    </row>
    <row r="245" spans="1:7">
      <c r="A245" s="78" t="s">
        <v>213</v>
      </c>
      <c r="B245" s="124">
        <v>5.06</v>
      </c>
      <c r="C245" s="79">
        <f t="shared" si="3"/>
        <v>4.66</v>
      </c>
      <c r="D245" s="80">
        <v>0.685</v>
      </c>
      <c r="E245" s="80">
        <v>0.211</v>
      </c>
      <c r="F245" s="81">
        <v>0.226189723320158</v>
      </c>
      <c r="G245" s="81">
        <v>0.230671936758893</v>
      </c>
    </row>
    <row r="246" spans="1:7">
      <c r="A246" s="78" t="s">
        <v>214</v>
      </c>
      <c r="B246" s="124">
        <v>5.52</v>
      </c>
      <c r="C246" s="79">
        <f t="shared" si="3"/>
        <v>5.06</v>
      </c>
      <c r="D246" s="80">
        <v>0.71125</v>
      </c>
      <c r="E246" s="80">
        <v>0.22675</v>
      </c>
      <c r="F246" s="81">
        <v>0.240673913043478</v>
      </c>
      <c r="G246" s="81">
        <v>0.244782608695652</v>
      </c>
    </row>
    <row r="247" spans="1:7">
      <c r="A247" s="78" t="s">
        <v>215</v>
      </c>
      <c r="B247" s="124">
        <v>5.87</v>
      </c>
      <c r="C247" s="79">
        <f t="shared" si="3"/>
        <v>5.52</v>
      </c>
      <c r="D247" s="80">
        <v>0.728466780238501</v>
      </c>
      <c r="E247" s="80">
        <v>0.237080068143101</v>
      </c>
      <c r="F247" s="81">
        <v>0.250173764906303</v>
      </c>
      <c r="G247" s="81">
        <v>0.254037478705281</v>
      </c>
    </row>
    <row r="248" spans="1:7">
      <c r="A248" s="78" t="s">
        <v>216</v>
      </c>
      <c r="B248" s="124">
        <v>6.45</v>
      </c>
      <c r="C248" s="79">
        <f t="shared" si="3"/>
        <v>5.87</v>
      </c>
      <c r="D248" s="80">
        <v>0.752883720930233</v>
      </c>
      <c r="E248" s="80">
        <v>0.25173023255814</v>
      </c>
      <c r="F248" s="81">
        <v>0.263646511627907</v>
      </c>
      <c r="G248" s="81">
        <v>0.267162790697674</v>
      </c>
    </row>
    <row r="249" spans="1:7">
      <c r="A249" s="78" t="s">
        <v>217</v>
      </c>
      <c r="B249" s="124">
        <v>7.36</v>
      </c>
      <c r="C249" s="79">
        <f t="shared" si="3"/>
        <v>6.45</v>
      </c>
      <c r="D249" s="80">
        <v>0.7834375</v>
      </c>
      <c r="E249" s="80">
        <v>0.2700625</v>
      </c>
      <c r="F249" s="81">
        <v>0.280505434782609</v>
      </c>
      <c r="G249" s="81">
        <v>0.283586956521739</v>
      </c>
    </row>
    <row r="250" spans="1:7">
      <c r="A250" s="78" t="s">
        <v>218</v>
      </c>
      <c r="B250" s="124">
        <v>8.16</v>
      </c>
      <c r="C250" s="79">
        <f t="shared" si="3"/>
        <v>7.36</v>
      </c>
      <c r="D250" s="80">
        <v>0.804669117647059</v>
      </c>
      <c r="E250" s="80">
        <v>0.282801470588235</v>
      </c>
      <c r="F250" s="81">
        <v>0.292220588235294</v>
      </c>
      <c r="G250" s="81">
        <v>0.295</v>
      </c>
    </row>
    <row r="251" spans="1:7">
      <c r="A251" s="78" t="s">
        <v>219</v>
      </c>
      <c r="B251" s="124">
        <v>9.26</v>
      </c>
      <c r="C251" s="79">
        <f t="shared" si="3"/>
        <v>8.16</v>
      </c>
      <c r="D251" s="80">
        <v>0.827872570194385</v>
      </c>
      <c r="E251" s="80">
        <v>0.296723542116631</v>
      </c>
      <c r="F251" s="81">
        <v>0.305023758099352</v>
      </c>
      <c r="G251" s="81">
        <v>0.307473002159827</v>
      </c>
    </row>
    <row r="252" spans="1:7">
      <c r="A252" s="78" t="s">
        <v>220</v>
      </c>
      <c r="B252" s="124">
        <v>11.83</v>
      </c>
      <c r="C252" s="79">
        <f t="shared" si="3"/>
        <v>9.26</v>
      </c>
      <c r="D252" s="80">
        <v>0.865266272189349</v>
      </c>
      <c r="E252" s="80">
        <v>0.31915976331361</v>
      </c>
      <c r="F252" s="81">
        <v>0.325656804733728</v>
      </c>
      <c r="G252" s="81">
        <v>0.327573964497041</v>
      </c>
    </row>
    <row r="253" spans="1:7">
      <c r="A253" s="78" t="s">
        <v>221</v>
      </c>
      <c r="B253" s="126">
        <v>16.22</v>
      </c>
      <c r="C253" s="79">
        <f t="shared" si="3"/>
        <v>11.83</v>
      </c>
      <c r="D253" s="80">
        <v>0.901732429099877</v>
      </c>
      <c r="E253" s="80">
        <v>0.341039457459926</v>
      </c>
      <c r="F253" s="81">
        <v>0.345778051787916</v>
      </c>
      <c r="G253" s="81">
        <v>0.347176325524044</v>
      </c>
    </row>
    <row r="254" spans="1:7">
      <c r="A254" s="78" t="s">
        <v>221</v>
      </c>
      <c r="B254" s="78" t="s">
        <v>428</v>
      </c>
      <c r="C254" s="79">
        <f t="shared" si="3"/>
        <v>16.22</v>
      </c>
      <c r="D254" s="117"/>
      <c r="E254" s="83"/>
      <c r="F254" s="84"/>
      <c r="G254" s="84"/>
    </row>
    <row r="255" spans="1:7">
      <c r="A255" s="78"/>
      <c r="B255" s="78"/>
      <c r="C255" s="78"/>
      <c r="D255" s="117"/>
      <c r="E255" s="85">
        <v>0.0831109727966057</v>
      </c>
      <c r="F255" s="86">
        <v>0.0929034884990991</v>
      </c>
      <c r="G255" s="86">
        <v>0.0959998498451858</v>
      </c>
    </row>
    <row r="256" ht="26.25" customHeight="1" spans="1:7">
      <c r="A256" s="87" t="s">
        <v>233</v>
      </c>
      <c r="B256" s="93">
        <v>2.38</v>
      </c>
      <c r="C256" s="78"/>
      <c r="D256" s="117"/>
      <c r="E256" s="127">
        <v>2.6565</v>
      </c>
      <c r="F256" s="128">
        <v>2.443</v>
      </c>
      <c r="G256" s="129">
        <v>2.38</v>
      </c>
    </row>
    <row r="257" ht="27" customHeight="1" spans="1:7">
      <c r="A257" s="87" t="s">
        <v>224</v>
      </c>
      <c r="B257" s="93">
        <v>2.19</v>
      </c>
      <c r="C257" s="78"/>
      <c r="D257" s="83"/>
      <c r="E257" s="83"/>
      <c r="F257" s="84"/>
      <c r="G257" s="84"/>
    </row>
    <row r="258" ht="37.5" customHeight="1" spans="1:7">
      <c r="A258" s="106" t="s">
        <v>225</v>
      </c>
      <c r="B258" s="93">
        <v>1.31</v>
      </c>
      <c r="C258" s="78"/>
      <c r="D258" s="83"/>
      <c r="E258" s="83">
        <v>1.5939</v>
      </c>
      <c r="F258" s="84">
        <v>1.4658</v>
      </c>
      <c r="G258" s="84">
        <v>1.428</v>
      </c>
    </row>
    <row r="261" spans="1:3">
      <c r="A261" s="531" t="s">
        <v>226</v>
      </c>
      <c r="B261" s="95">
        <f>AVERAGE(B209:B248)</f>
        <v>2.6565</v>
      </c>
      <c r="C261" s="95"/>
    </row>
    <row r="262" spans="1:3">
      <c r="A262" s="531" t="s">
        <v>227</v>
      </c>
      <c r="B262" s="96">
        <f>AVERAGE(B214:B243)</f>
        <v>2.443</v>
      </c>
      <c r="C262" s="96"/>
    </row>
    <row r="263" spans="1:3">
      <c r="A263" s="531" t="s">
        <v>228</v>
      </c>
      <c r="B263" s="96">
        <f>AVERAGE(B220:B238)</f>
        <v>2.37263157894737</v>
      </c>
      <c r="C263" s="96"/>
    </row>
    <row r="265" ht="15.75"/>
    <row r="266" customHeight="1" spans="1:7">
      <c r="A266" s="93" t="s">
        <v>165</v>
      </c>
      <c r="B266" s="78" t="s">
        <v>363</v>
      </c>
      <c r="C266" s="78"/>
      <c r="D266" s="78"/>
      <c r="E266" s="86">
        <f>(1-E321)^(1/3)-1</f>
        <v>-0.0240729483342779</v>
      </c>
      <c r="F266" s="86">
        <f>(1-F321)^(1/3)-1</f>
        <v>-0.0251329667243867</v>
      </c>
      <c r="G266" s="139"/>
    </row>
    <row r="267" ht="48.75" spans="1:7">
      <c r="A267" s="93"/>
      <c r="B267" s="83" t="s">
        <v>167</v>
      </c>
      <c r="C267" s="130"/>
      <c r="D267" s="83" t="s">
        <v>168</v>
      </c>
      <c r="E267" s="83" t="s">
        <v>169</v>
      </c>
      <c r="F267" s="84" t="s">
        <v>169</v>
      </c>
      <c r="G267" s="140"/>
    </row>
    <row r="268" spans="1:7">
      <c r="A268" s="93"/>
      <c r="B268" s="93" t="s">
        <v>364</v>
      </c>
      <c r="D268" s="141" t="s">
        <v>171</v>
      </c>
      <c r="E268" s="141" t="s">
        <v>171</v>
      </c>
      <c r="F268" s="141" t="s">
        <v>171</v>
      </c>
      <c r="G268" s="142"/>
    </row>
    <row r="269" spans="1:7">
      <c r="A269" s="75">
        <v>1</v>
      </c>
      <c r="B269" s="143">
        <v>2</v>
      </c>
      <c r="D269" s="76">
        <v>3</v>
      </c>
      <c r="E269" s="76">
        <v>4</v>
      </c>
      <c r="F269" s="77">
        <v>5</v>
      </c>
      <c r="G269" s="77"/>
    </row>
    <row r="270" spans="1:7">
      <c r="A270" s="530" t="s">
        <v>172</v>
      </c>
      <c r="B270" s="111">
        <v>11.74</v>
      </c>
      <c r="C270">
        <v>0</v>
      </c>
      <c r="D270" s="113">
        <v>0</v>
      </c>
      <c r="E270" s="80">
        <v>0</v>
      </c>
      <c r="F270" s="81">
        <v>0</v>
      </c>
      <c r="G270" s="81">
        <v>0</v>
      </c>
    </row>
    <row r="271" spans="1:7">
      <c r="A271" s="530" t="s">
        <v>173</v>
      </c>
      <c r="B271" s="144">
        <v>13.07</v>
      </c>
      <c r="C271" s="79">
        <f>B270</f>
        <v>11.74</v>
      </c>
      <c r="D271" s="80">
        <v>0</v>
      </c>
      <c r="E271" s="80">
        <v>0</v>
      </c>
      <c r="F271" s="81">
        <v>0</v>
      </c>
      <c r="G271" s="81">
        <v>0</v>
      </c>
    </row>
    <row r="272" spans="1:7">
      <c r="A272" s="530" t="s">
        <v>174</v>
      </c>
      <c r="B272" s="144">
        <v>14.7</v>
      </c>
      <c r="C272" s="79">
        <f t="shared" ref="C272:C320" si="4">B271</f>
        <v>13.07</v>
      </c>
      <c r="D272" s="80">
        <v>0</v>
      </c>
      <c r="E272" s="80">
        <v>0</v>
      </c>
      <c r="F272" s="81">
        <v>0</v>
      </c>
      <c r="G272" s="81">
        <v>0</v>
      </c>
    </row>
    <row r="273" spans="1:7">
      <c r="A273" s="530" t="s">
        <v>175</v>
      </c>
      <c r="B273" s="144">
        <v>16.51</v>
      </c>
      <c r="C273" s="79">
        <f t="shared" si="4"/>
        <v>14.7</v>
      </c>
      <c r="D273" s="80">
        <v>0</v>
      </c>
      <c r="E273" s="80">
        <v>0</v>
      </c>
      <c r="F273" s="81">
        <v>0</v>
      </c>
      <c r="G273" s="81">
        <v>0</v>
      </c>
    </row>
    <row r="274" spans="1:7">
      <c r="A274" s="530" t="s">
        <v>176</v>
      </c>
      <c r="B274" s="144">
        <v>17.77</v>
      </c>
      <c r="C274" s="79">
        <f t="shared" si="4"/>
        <v>16.51</v>
      </c>
      <c r="D274" s="80">
        <v>0</v>
      </c>
      <c r="E274" s="80">
        <v>0</v>
      </c>
      <c r="F274" s="81">
        <v>0</v>
      </c>
      <c r="G274" s="81">
        <v>0</v>
      </c>
    </row>
    <row r="275" spans="1:7">
      <c r="A275" s="530" t="s">
        <v>177</v>
      </c>
      <c r="B275" s="144">
        <v>18.88</v>
      </c>
      <c r="C275" s="79">
        <f t="shared" si="4"/>
        <v>17.77</v>
      </c>
      <c r="D275" s="80">
        <v>0</v>
      </c>
      <c r="E275" s="80">
        <v>0</v>
      </c>
      <c r="F275" s="81">
        <v>0</v>
      </c>
      <c r="G275" s="81">
        <v>0</v>
      </c>
    </row>
    <row r="276" spans="1:7">
      <c r="A276" s="530" t="s">
        <v>178</v>
      </c>
      <c r="B276" s="144">
        <v>20.1</v>
      </c>
      <c r="C276" s="79">
        <f t="shared" si="4"/>
        <v>18.88</v>
      </c>
      <c r="D276" s="80">
        <v>0</v>
      </c>
      <c r="E276" s="80">
        <v>0</v>
      </c>
      <c r="F276" s="81">
        <v>0</v>
      </c>
      <c r="G276" s="81">
        <v>0</v>
      </c>
    </row>
    <row r="277" spans="1:7">
      <c r="A277" s="78" t="s">
        <v>179</v>
      </c>
      <c r="B277" s="144">
        <v>21.31</v>
      </c>
      <c r="C277" s="79">
        <f t="shared" si="4"/>
        <v>20.1</v>
      </c>
      <c r="D277" s="80">
        <v>0.0119920225246363</v>
      </c>
      <c r="E277" s="80"/>
      <c r="F277" s="81">
        <v>0.00310370717972781</v>
      </c>
      <c r="G277" s="81">
        <v>0</v>
      </c>
    </row>
    <row r="278" spans="1:7">
      <c r="A278" s="78" t="s">
        <v>180</v>
      </c>
      <c r="B278" s="144">
        <v>22.19</v>
      </c>
      <c r="C278" s="79">
        <f t="shared" si="4"/>
        <v>21.31</v>
      </c>
      <c r="D278" s="80">
        <v>0.0511739522307347</v>
      </c>
      <c r="E278" s="80"/>
      <c r="F278" s="81">
        <v>0.00694637223974763</v>
      </c>
      <c r="G278" s="81">
        <v>0.000495718792248774</v>
      </c>
    </row>
    <row r="279" spans="1:7">
      <c r="A279" s="78" t="s">
        <v>181</v>
      </c>
      <c r="B279" s="144">
        <v>23.01</v>
      </c>
      <c r="C279" s="79">
        <f t="shared" si="4"/>
        <v>22.19</v>
      </c>
      <c r="D279" s="80">
        <v>0.0849869621903521</v>
      </c>
      <c r="E279" s="80"/>
      <c r="F279" s="81">
        <v>0.0102624945675793</v>
      </c>
      <c r="G279" s="81">
        <v>0.00404172099087355</v>
      </c>
    </row>
    <row r="280" spans="1:7">
      <c r="A280" s="78" t="s">
        <v>182</v>
      </c>
      <c r="B280" s="144">
        <v>23.65</v>
      </c>
      <c r="C280" s="79">
        <f t="shared" si="4"/>
        <v>23.01</v>
      </c>
      <c r="D280" s="80">
        <v>0.109748414376321</v>
      </c>
      <c r="E280" s="80">
        <v>0.0109748414376321</v>
      </c>
      <c r="F280" s="81">
        <v>0.0126909090909091</v>
      </c>
      <c r="G280" s="81">
        <v>0.0066384778012685</v>
      </c>
    </row>
    <row r="281" spans="1:7">
      <c r="A281" s="78" t="s">
        <v>183</v>
      </c>
      <c r="B281" s="144">
        <v>24.36</v>
      </c>
      <c r="C281" s="79">
        <f t="shared" si="4"/>
        <v>23.65</v>
      </c>
      <c r="D281" s="80">
        <v>0.135695812807882</v>
      </c>
      <c r="E281" s="80">
        <v>0.0135695812807882</v>
      </c>
      <c r="F281" s="81">
        <v>0.015235632183908</v>
      </c>
      <c r="G281" s="81">
        <v>0.00935960591133005</v>
      </c>
    </row>
    <row r="282" spans="1:7">
      <c r="A282" s="78" t="s">
        <v>184</v>
      </c>
      <c r="B282" s="144">
        <v>25.19</v>
      </c>
      <c r="C282" s="79">
        <f t="shared" si="4"/>
        <v>24.36</v>
      </c>
      <c r="D282" s="80">
        <v>0.164174275506153</v>
      </c>
      <c r="E282" s="80">
        <v>0.0164174275506153</v>
      </c>
      <c r="F282" s="81">
        <v>0.0180285827709408</v>
      </c>
      <c r="G282" s="81">
        <v>0.0123461691147281</v>
      </c>
    </row>
    <row r="283" spans="1:7">
      <c r="A283" s="78" t="s">
        <v>185</v>
      </c>
      <c r="B283" s="144">
        <v>25.92</v>
      </c>
      <c r="C283" s="79">
        <f t="shared" si="4"/>
        <v>25.19</v>
      </c>
      <c r="D283" s="80">
        <v>0.18771412037037</v>
      </c>
      <c r="E283" s="80">
        <v>0.018771412037037</v>
      </c>
      <c r="F283" s="81">
        <v>0.0203371913580247</v>
      </c>
      <c r="G283" s="81">
        <v>0.0148148148148148</v>
      </c>
    </row>
    <row r="284" spans="1:7">
      <c r="A284" s="78" t="s">
        <v>186</v>
      </c>
      <c r="B284" s="144">
        <v>26.74</v>
      </c>
      <c r="C284" s="79">
        <f t="shared" si="4"/>
        <v>25.92</v>
      </c>
      <c r="D284" s="80">
        <v>0.212623410620793</v>
      </c>
      <c r="E284" s="80">
        <v>0.0212623410620793</v>
      </c>
      <c r="F284" s="81">
        <v>0.0227801047120419</v>
      </c>
      <c r="G284" s="81">
        <v>0.0174270755422588</v>
      </c>
    </row>
    <row r="285" spans="1:7">
      <c r="A285" s="78" t="s">
        <v>187</v>
      </c>
      <c r="B285" s="144">
        <v>27.27</v>
      </c>
      <c r="C285" s="79">
        <f t="shared" si="4"/>
        <v>26.74</v>
      </c>
      <c r="D285" s="80">
        <v>0.227926292629263</v>
      </c>
      <c r="E285" s="80">
        <v>0.0227926292629263</v>
      </c>
      <c r="F285" s="81">
        <v>0.0242808947561423</v>
      </c>
      <c r="G285" s="81">
        <v>0.019031903190319</v>
      </c>
    </row>
    <row r="286" spans="1:7">
      <c r="A286" s="78" t="s">
        <v>188</v>
      </c>
      <c r="B286" s="144">
        <v>27.9</v>
      </c>
      <c r="C286" s="79">
        <f t="shared" si="4"/>
        <v>27.27</v>
      </c>
      <c r="D286" s="80">
        <v>0.245360215053763</v>
      </c>
      <c r="E286" s="80">
        <v>0.0245360215053763</v>
      </c>
      <c r="F286" s="81">
        <v>0.0259906810035842</v>
      </c>
      <c r="G286" s="81">
        <v>0.0208602150537634</v>
      </c>
    </row>
    <row r="287" spans="1:7">
      <c r="A287" s="78" t="s">
        <v>189</v>
      </c>
      <c r="B287" s="144">
        <v>28.71</v>
      </c>
      <c r="C287" s="79">
        <f t="shared" si="4"/>
        <v>27.9</v>
      </c>
      <c r="D287" s="80">
        <v>0.266650992685475</v>
      </c>
      <c r="E287" s="80">
        <v>0.0266650992685475</v>
      </c>
      <c r="F287" s="81">
        <v>0.0280787182166492</v>
      </c>
      <c r="G287" s="81">
        <v>0.0230929989550679</v>
      </c>
    </row>
    <row r="288" spans="1:7">
      <c r="A288" s="78" t="s">
        <v>190</v>
      </c>
      <c r="B288" s="144">
        <v>29.43</v>
      </c>
      <c r="C288" s="79">
        <f t="shared" si="4"/>
        <v>28.71</v>
      </c>
      <c r="D288" s="80">
        <v>0.284592252803262</v>
      </c>
      <c r="E288" s="80">
        <v>0.0284592252803262</v>
      </c>
      <c r="F288" s="81">
        <v>0.0298382602786272</v>
      </c>
      <c r="G288" s="81">
        <v>0.0249745158002039</v>
      </c>
    </row>
    <row r="289" spans="1:7">
      <c r="A289" s="78" t="s">
        <v>191</v>
      </c>
      <c r="B289" s="144">
        <v>29.95</v>
      </c>
      <c r="C289" s="79">
        <f t="shared" si="4"/>
        <v>29.43</v>
      </c>
      <c r="D289" s="80">
        <v>0.297013355592654</v>
      </c>
      <c r="E289" s="80">
        <v>0.0297013355592654</v>
      </c>
      <c r="F289" s="81">
        <v>0.0310564273789649</v>
      </c>
      <c r="G289" s="81">
        <v>0.0262771285475793</v>
      </c>
    </row>
    <row r="290" spans="1:7">
      <c r="A290" s="78" t="s">
        <v>192</v>
      </c>
      <c r="B290" s="144">
        <v>30.5</v>
      </c>
      <c r="C290" s="79">
        <f t="shared" si="4"/>
        <v>29.95</v>
      </c>
      <c r="D290" s="80">
        <v>0.309690163934426</v>
      </c>
      <c r="E290" s="80">
        <v>0.0309690163934426</v>
      </c>
      <c r="F290" s="81">
        <v>0.0322996721311475</v>
      </c>
      <c r="G290" s="81">
        <v>0.0276065573770492</v>
      </c>
    </row>
    <row r="291" spans="1:7">
      <c r="A291" s="78" t="s">
        <v>193</v>
      </c>
      <c r="B291" s="144">
        <v>30.9</v>
      </c>
      <c r="C291" s="79">
        <f t="shared" si="4"/>
        <v>30.5</v>
      </c>
      <c r="D291" s="80">
        <v>0.318626213592233</v>
      </c>
      <c r="E291" s="80">
        <v>0.0318626213592233</v>
      </c>
      <c r="F291" s="81">
        <v>0.0331760517799353</v>
      </c>
      <c r="G291" s="81">
        <v>0.0285436893203884</v>
      </c>
    </row>
    <row r="292" spans="1:7">
      <c r="A292" s="78" t="s">
        <v>194</v>
      </c>
      <c r="B292" s="144">
        <v>31.62</v>
      </c>
      <c r="C292" s="79">
        <f t="shared" si="4"/>
        <v>30.9</v>
      </c>
      <c r="D292" s="80">
        <v>0.334141366223909</v>
      </c>
      <c r="E292" s="80">
        <v>0.0334141366223909</v>
      </c>
      <c r="F292" s="81">
        <v>0.0346976597090449</v>
      </c>
      <c r="G292" s="81">
        <v>0.0301707779886148</v>
      </c>
    </row>
    <row r="293" spans="1:7">
      <c r="A293" s="78" t="s">
        <v>195</v>
      </c>
      <c r="B293" s="144">
        <v>32.36</v>
      </c>
      <c r="C293" s="79">
        <f t="shared" si="4"/>
        <v>31.62</v>
      </c>
      <c r="D293" s="80">
        <v>0.34936804697157</v>
      </c>
      <c r="E293" s="80">
        <v>0.034936804697157</v>
      </c>
      <c r="F293" s="81">
        <v>0.0361909765142151</v>
      </c>
      <c r="G293" s="81">
        <v>0.0317676143386897</v>
      </c>
    </row>
    <row r="294" spans="1:7">
      <c r="A294" s="78" t="s">
        <v>196</v>
      </c>
      <c r="B294" s="144">
        <v>33.24</v>
      </c>
      <c r="C294" s="79">
        <f t="shared" si="4"/>
        <v>32.36</v>
      </c>
      <c r="D294" s="80">
        <v>0.366592960288809</v>
      </c>
      <c r="E294" s="80">
        <v>0.0366592960288809</v>
      </c>
      <c r="F294" s="81">
        <v>0.0378802647412756</v>
      </c>
      <c r="G294" s="81">
        <v>0.0335740072202166</v>
      </c>
    </row>
    <row r="295" spans="1:7">
      <c r="A295" s="78" t="s">
        <v>197</v>
      </c>
      <c r="B295" s="144">
        <v>34.06</v>
      </c>
      <c r="C295" s="79">
        <f t="shared" si="4"/>
        <v>33.24</v>
      </c>
      <c r="D295" s="80">
        <v>0.381842337052261</v>
      </c>
      <c r="E295" s="80">
        <v>0.0381842337052261</v>
      </c>
      <c r="F295" s="81">
        <v>0.0393758073987082</v>
      </c>
      <c r="G295" s="81">
        <v>0.0351732237228421</v>
      </c>
    </row>
    <row r="296" spans="1:7">
      <c r="A296" s="78" t="s">
        <v>198</v>
      </c>
      <c r="B296" s="144">
        <v>34.8</v>
      </c>
      <c r="C296" s="79">
        <f t="shared" si="4"/>
        <v>34.06</v>
      </c>
      <c r="D296" s="80">
        <v>0.394987068965517</v>
      </c>
      <c r="E296" s="80">
        <v>0.0394987068965517</v>
      </c>
      <c r="F296" s="81">
        <v>0.0439896551724137</v>
      </c>
      <c r="G296" s="81">
        <v>0.036551724137931</v>
      </c>
    </row>
    <row r="297" spans="1:7">
      <c r="A297" s="78" t="s">
        <v>199</v>
      </c>
      <c r="B297" s="144">
        <v>35.41</v>
      </c>
      <c r="C297" s="79">
        <f t="shared" si="4"/>
        <v>34.8</v>
      </c>
      <c r="D297" s="80">
        <v>0.405409488844959</v>
      </c>
      <c r="E297" s="80">
        <v>0.0432456933069754</v>
      </c>
      <c r="F297" s="81">
        <v>0.0501225642473877</v>
      </c>
      <c r="G297" s="81">
        <v>0.0376447331262355</v>
      </c>
    </row>
    <row r="298" spans="1:7">
      <c r="A298" s="78" t="s">
        <v>200</v>
      </c>
      <c r="B298" s="144">
        <v>36.21</v>
      </c>
      <c r="C298" s="79">
        <f t="shared" si="4"/>
        <v>35.41</v>
      </c>
      <c r="D298" s="80">
        <v>0.418545981772991</v>
      </c>
      <c r="E298" s="80">
        <v>0.0511275890637945</v>
      </c>
      <c r="F298" s="81">
        <v>0.0578525269262634</v>
      </c>
      <c r="G298" s="81">
        <v>0.0390223695111848</v>
      </c>
    </row>
    <row r="299" spans="1:7">
      <c r="A299" s="78" t="s">
        <v>201</v>
      </c>
      <c r="B299" s="144">
        <v>36.93</v>
      </c>
      <c r="C299" s="79">
        <f t="shared" si="4"/>
        <v>36.21</v>
      </c>
      <c r="D299" s="80">
        <v>0.429882209585703</v>
      </c>
      <c r="E299" s="80">
        <v>0.0579293257514216</v>
      </c>
      <c r="F299" s="81">
        <v>0.064523151909017</v>
      </c>
      <c r="G299" s="81">
        <v>0.0412672623883022</v>
      </c>
    </row>
    <row r="300" spans="1:7">
      <c r="A300" s="78" t="s">
        <v>202</v>
      </c>
      <c r="B300" s="144">
        <v>37.81</v>
      </c>
      <c r="C300" s="79">
        <f t="shared" si="4"/>
        <v>36.93</v>
      </c>
      <c r="D300" s="80">
        <v>0.443151282729437</v>
      </c>
      <c r="E300" s="80">
        <v>0.065890769637662</v>
      </c>
      <c r="F300" s="81">
        <v>0.0723311293308648</v>
      </c>
      <c r="G300" s="81">
        <v>0.0496165035704841</v>
      </c>
    </row>
    <row r="301" spans="1:7">
      <c r="A301" s="78" t="s">
        <v>203</v>
      </c>
      <c r="B301" s="144">
        <v>38.8</v>
      </c>
      <c r="C301" s="79">
        <f t="shared" si="4"/>
        <v>37.81</v>
      </c>
      <c r="D301" s="80">
        <v>0.457359536082474</v>
      </c>
      <c r="E301" s="80">
        <v>0.0744157216494845</v>
      </c>
      <c r="F301" s="81">
        <v>0.0806917525773195</v>
      </c>
      <c r="G301" s="81">
        <v>0.0585567010309278</v>
      </c>
    </row>
    <row r="302" spans="1:7">
      <c r="A302" s="78" t="s">
        <v>204</v>
      </c>
      <c r="B302" s="144">
        <v>39.85</v>
      </c>
      <c r="C302" s="79">
        <f t="shared" si="4"/>
        <v>38.8</v>
      </c>
      <c r="D302" s="80">
        <v>0.471657465495609</v>
      </c>
      <c r="E302" s="80">
        <v>0.0829944792973651</v>
      </c>
      <c r="F302" s="81">
        <v>0.0891051442910916</v>
      </c>
      <c r="G302" s="81">
        <v>0.0675533249686324</v>
      </c>
    </row>
    <row r="303" spans="1:7">
      <c r="A303" s="78" t="s">
        <v>205</v>
      </c>
      <c r="B303" s="144">
        <v>40.67</v>
      </c>
      <c r="C303" s="79">
        <f t="shared" si="4"/>
        <v>39.85</v>
      </c>
      <c r="D303" s="80">
        <v>0.482310056552742</v>
      </c>
      <c r="E303" s="80">
        <v>0.089386033931645</v>
      </c>
      <c r="F303" s="81">
        <v>0.0953734939759036</v>
      </c>
      <c r="G303" s="81">
        <v>0.0742562085074994</v>
      </c>
    </row>
    <row r="304" spans="1:7">
      <c r="A304" s="78" t="s">
        <v>206</v>
      </c>
      <c r="B304" s="144">
        <v>41.53</v>
      </c>
      <c r="C304" s="79">
        <f t="shared" si="4"/>
        <v>40.67</v>
      </c>
      <c r="D304" s="80">
        <v>0.493030339513605</v>
      </c>
      <c r="E304" s="80">
        <v>0.0958182037081628</v>
      </c>
      <c r="F304" s="81">
        <v>0.101681675896942</v>
      </c>
      <c r="G304" s="81">
        <v>0.0810016855285336</v>
      </c>
    </row>
    <row r="305" spans="1:7">
      <c r="A305" s="78" t="s">
        <v>207</v>
      </c>
      <c r="B305" s="144">
        <v>42.95</v>
      </c>
      <c r="C305" s="79">
        <f t="shared" si="4"/>
        <v>41.53</v>
      </c>
      <c r="D305" s="80">
        <v>0.509791618160652</v>
      </c>
      <c r="E305" s="80">
        <v>0.105874970896391</v>
      </c>
      <c r="F305" s="81">
        <v>0.111544586728754</v>
      </c>
      <c r="G305" s="81">
        <v>0.0915483119906869</v>
      </c>
    </row>
    <row r="306" spans="1:7">
      <c r="A306" s="78" t="s">
        <v>208</v>
      </c>
      <c r="B306" s="144">
        <v>44.57</v>
      </c>
      <c r="C306" s="79">
        <f t="shared" si="4"/>
        <v>42.95</v>
      </c>
      <c r="D306" s="80">
        <v>0.527609378505721</v>
      </c>
      <c r="E306" s="80">
        <v>0.116565627103433</v>
      </c>
      <c r="F306" s="81">
        <v>0.122029167601526</v>
      </c>
      <c r="G306" s="81">
        <v>0.102759703836661</v>
      </c>
    </row>
    <row r="307" spans="1:7">
      <c r="A307" s="78" t="s">
        <v>209</v>
      </c>
      <c r="B307" s="144">
        <v>45.7</v>
      </c>
      <c r="C307" s="79">
        <f t="shared" si="4"/>
        <v>44.57</v>
      </c>
      <c r="D307" s="80">
        <v>0.539289934354486</v>
      </c>
      <c r="E307" s="80">
        <v>0.123573960612692</v>
      </c>
      <c r="F307" s="81">
        <v>0.128902407002188</v>
      </c>
      <c r="G307" s="81">
        <v>0.110109409190372</v>
      </c>
    </row>
    <row r="308" spans="1:7">
      <c r="A308" s="78" t="s">
        <v>210</v>
      </c>
      <c r="B308" s="144">
        <v>47.16</v>
      </c>
      <c r="C308" s="79">
        <f t="shared" si="4"/>
        <v>45.7</v>
      </c>
      <c r="D308" s="80">
        <v>0.553552798982188</v>
      </c>
      <c r="E308" s="80">
        <v>0.132131679389313</v>
      </c>
      <c r="F308" s="81">
        <v>0.137295165394402</v>
      </c>
      <c r="G308" s="81">
        <v>0.119083969465649</v>
      </c>
    </row>
    <row r="309" spans="1:7">
      <c r="A309" s="78" t="s">
        <v>211</v>
      </c>
      <c r="B309" s="144">
        <v>48.24</v>
      </c>
      <c r="C309" s="79">
        <f t="shared" si="4"/>
        <v>47.16</v>
      </c>
      <c r="D309" s="80">
        <v>0.563547885572139</v>
      </c>
      <c r="E309" s="80">
        <v>0.138128731343284</v>
      </c>
      <c r="F309" s="81">
        <v>0.143176616915423</v>
      </c>
      <c r="G309" s="81">
        <v>0.125373134328358</v>
      </c>
    </row>
    <row r="310" spans="1:7">
      <c r="A310" s="78" t="s">
        <v>212</v>
      </c>
      <c r="B310" s="144">
        <v>49.88</v>
      </c>
      <c r="C310" s="79">
        <f t="shared" si="4"/>
        <v>48.24</v>
      </c>
      <c r="D310" s="80">
        <v>0.577897955092221</v>
      </c>
      <c r="E310" s="80">
        <v>0.146738773055333</v>
      </c>
      <c r="F310" s="81">
        <v>0.151620689655172</v>
      </c>
      <c r="G310" s="81">
        <v>0.134402566158781</v>
      </c>
    </row>
    <row r="311" spans="1:7">
      <c r="A311" s="78" t="s">
        <v>213</v>
      </c>
      <c r="B311" s="144">
        <v>51.25</v>
      </c>
      <c r="C311" s="79">
        <f t="shared" si="4"/>
        <v>49.88</v>
      </c>
      <c r="D311" s="80">
        <v>0.589181463414634</v>
      </c>
      <c r="E311" s="80">
        <v>0.15350887804878</v>
      </c>
      <c r="F311" s="81">
        <v>0.158260292682927</v>
      </c>
      <c r="G311" s="81">
        <v>0.14150243902439</v>
      </c>
    </row>
    <row r="312" spans="1:7">
      <c r="A312" s="78" t="s">
        <v>214</v>
      </c>
      <c r="B312" s="144">
        <v>52.57</v>
      </c>
      <c r="C312" s="79">
        <f t="shared" si="4"/>
        <v>51.25</v>
      </c>
      <c r="D312" s="80">
        <v>0.599496861327753</v>
      </c>
      <c r="E312" s="80">
        <v>0.159698116796652</v>
      </c>
      <c r="F312" s="81">
        <v>0.164330226364847</v>
      </c>
      <c r="G312" s="81">
        <v>0.147993151987826</v>
      </c>
    </row>
    <row r="313" spans="1:7">
      <c r="A313" s="78" t="s">
        <v>215</v>
      </c>
      <c r="B313" s="144">
        <v>54.73</v>
      </c>
      <c r="C313" s="79">
        <f t="shared" si="4"/>
        <v>52.57</v>
      </c>
      <c r="D313" s="80">
        <v>0.615303307144162</v>
      </c>
      <c r="E313" s="80">
        <v>0.169181984286497</v>
      </c>
      <c r="F313" s="81">
        <v>0.173631280833181</v>
      </c>
      <c r="G313" s="81">
        <v>0.157938973140873</v>
      </c>
    </row>
    <row r="314" spans="1:7">
      <c r="A314" s="78" t="s">
        <v>216</v>
      </c>
      <c r="B314" s="144">
        <v>57.28</v>
      </c>
      <c r="C314" s="79">
        <f t="shared" si="4"/>
        <v>54.73</v>
      </c>
      <c r="D314" s="80">
        <v>0.632429294692737</v>
      </c>
      <c r="E314" s="80">
        <v>0.179457576815642</v>
      </c>
      <c r="F314" s="81">
        <v>0.183708798882682</v>
      </c>
      <c r="G314" s="81">
        <v>0.168715083798883</v>
      </c>
    </row>
    <row r="315" spans="1:7">
      <c r="A315" s="78" t="s">
        <v>217</v>
      </c>
      <c r="B315" s="144">
        <v>59.16</v>
      </c>
      <c r="C315" s="79">
        <f t="shared" si="4"/>
        <v>57.28</v>
      </c>
      <c r="D315" s="80">
        <v>0.644110040567951</v>
      </c>
      <c r="E315" s="80">
        <v>0.186466024340771</v>
      </c>
      <c r="F315" s="81">
        <v>0.19058215010142</v>
      </c>
      <c r="G315" s="81">
        <v>0.17606490872211</v>
      </c>
    </row>
    <row r="316" spans="1:7">
      <c r="A316" s="78" t="s">
        <v>218</v>
      </c>
      <c r="B316" s="144">
        <v>61.51</v>
      </c>
      <c r="C316" s="79">
        <f t="shared" si="4"/>
        <v>59.16</v>
      </c>
      <c r="D316" s="80">
        <v>0.65770687693058</v>
      </c>
      <c r="E316" s="80">
        <v>0.194624126158348</v>
      </c>
      <c r="F316" s="81">
        <v>0.198582994635019</v>
      </c>
      <c r="G316" s="81">
        <v>0.184620386928955</v>
      </c>
    </row>
    <row r="317" spans="1:7">
      <c r="A317" s="78" t="s">
        <v>219</v>
      </c>
      <c r="B317" s="144">
        <v>67.42</v>
      </c>
      <c r="C317" s="79">
        <f t="shared" si="4"/>
        <v>61.51</v>
      </c>
      <c r="D317" s="80">
        <v>0.687712103233462</v>
      </c>
      <c r="E317" s="80">
        <v>0.212627261940077</v>
      </c>
      <c r="F317" s="81">
        <v>0.216239098190448</v>
      </c>
      <c r="G317" s="81">
        <v>0.203500444971818</v>
      </c>
    </row>
    <row r="318" spans="1:7">
      <c r="A318" s="78" t="s">
        <v>220</v>
      </c>
      <c r="B318" s="144">
        <v>72.55</v>
      </c>
      <c r="C318" s="79">
        <f t="shared" si="4"/>
        <v>67.42</v>
      </c>
      <c r="D318" s="80">
        <v>0.709793935217092</v>
      </c>
      <c r="E318" s="80">
        <v>0.225876361130255</v>
      </c>
      <c r="F318" s="81">
        <v>0.229232804962095</v>
      </c>
      <c r="G318" s="81">
        <v>0.217394900068918</v>
      </c>
    </row>
    <row r="319" spans="1:7">
      <c r="A319" s="78" t="s">
        <v>221</v>
      </c>
      <c r="B319" s="144">
        <v>82.01</v>
      </c>
      <c r="C319" s="79">
        <f t="shared" si="4"/>
        <v>72.55</v>
      </c>
      <c r="D319" s="80">
        <v>0.743269723204487</v>
      </c>
      <c r="E319" s="80">
        <v>0.245961833922692</v>
      </c>
      <c r="F319" s="81">
        <v>0.248931105962687</v>
      </c>
      <c r="G319" s="81">
        <v>0.238458724545787</v>
      </c>
    </row>
    <row r="320" spans="1:7">
      <c r="A320" s="78" t="s">
        <v>221</v>
      </c>
      <c r="B320" s="145" t="s">
        <v>429</v>
      </c>
      <c r="C320" s="79">
        <f t="shared" si="4"/>
        <v>82.01</v>
      </c>
      <c r="D320" s="117"/>
      <c r="E320" s="83"/>
      <c r="F320" s="84"/>
      <c r="G320" s="84"/>
    </row>
    <row r="321" spans="1:7">
      <c r="A321" s="78"/>
      <c r="B321" s="78">
        <v>36.8</v>
      </c>
      <c r="D321" s="78"/>
      <c r="E321" s="85">
        <v>0.0704942749165742</v>
      </c>
      <c r="F321" s="86">
        <v>0.073519777765023</v>
      </c>
      <c r="G321" s="86">
        <v>0.0634226567082411</v>
      </c>
    </row>
    <row r="322" ht="24" spans="1:7">
      <c r="A322" s="87" t="s">
        <v>233</v>
      </c>
      <c r="B322" s="93">
        <v>36.8</v>
      </c>
      <c r="D322" s="78"/>
      <c r="E322" s="127">
        <v>35.09075</v>
      </c>
      <c r="F322" s="128">
        <v>34.4143333333333</v>
      </c>
      <c r="G322" s="129">
        <v>36.8</v>
      </c>
    </row>
    <row r="323" ht="24" spans="1:7">
      <c r="A323" s="87" t="s">
        <v>224</v>
      </c>
      <c r="B323" s="93">
        <v>36.8</v>
      </c>
      <c r="D323" s="83"/>
      <c r="E323" s="83"/>
      <c r="F323" s="84"/>
      <c r="G323" s="84"/>
    </row>
    <row r="324" ht="36" spans="1:7">
      <c r="A324" s="106" t="s">
        <v>225</v>
      </c>
      <c r="B324" s="93">
        <v>22.1</v>
      </c>
      <c r="D324" s="83"/>
      <c r="E324" s="83">
        <v>21.05445</v>
      </c>
      <c r="F324" s="84">
        <v>20.6486</v>
      </c>
      <c r="G324" s="84">
        <v>22.08</v>
      </c>
    </row>
    <row r="327" spans="1:2">
      <c r="A327" s="531" t="s">
        <v>226</v>
      </c>
      <c r="B327" s="95">
        <f>AVERAGE(B275:B314)</f>
        <v>35.09075</v>
      </c>
    </row>
    <row r="328" spans="1:2">
      <c r="A328" s="531" t="s">
        <v>227</v>
      </c>
      <c r="B328" s="96">
        <f>AVERAGE(B280:B309)</f>
        <v>34.4143333333333</v>
      </c>
    </row>
    <row r="329" spans="1:2">
      <c r="A329" s="531" t="s">
        <v>228</v>
      </c>
      <c r="B329" s="96">
        <f>AVERAGE(B286:B304)</f>
        <v>34.2463157894737</v>
      </c>
    </row>
    <row r="333" customHeight="1" spans="1:7">
      <c r="A333" s="78" t="s">
        <v>165</v>
      </c>
      <c r="B333" s="78" t="s">
        <v>37</v>
      </c>
      <c r="C333" s="78"/>
      <c r="D333" s="78"/>
      <c r="E333" s="146">
        <f>(1-E388)^(1/3)-1</f>
        <v>-0.0244769662615871</v>
      </c>
      <c r="F333" s="146">
        <f>(1-F388)^(1/3)-1</f>
        <v>-0.0255093183526713</v>
      </c>
      <c r="G333" s="146"/>
    </row>
    <row r="334" ht="48" spans="1:7">
      <c r="A334" s="78"/>
      <c r="B334" s="78" t="s">
        <v>167</v>
      </c>
      <c r="D334" s="78" t="s">
        <v>168</v>
      </c>
      <c r="E334" s="78" t="s">
        <v>169</v>
      </c>
      <c r="F334" s="147" t="s">
        <v>169</v>
      </c>
      <c r="G334" s="147"/>
    </row>
    <row r="335" spans="1:7">
      <c r="A335" s="78"/>
      <c r="B335" s="78" t="s">
        <v>365</v>
      </c>
      <c r="D335" s="141" t="s">
        <v>171</v>
      </c>
      <c r="E335" s="141" t="s">
        <v>171</v>
      </c>
      <c r="F335" s="141" t="s">
        <v>171</v>
      </c>
      <c r="G335" s="141"/>
    </row>
    <row r="336" ht="15.75" spans="1:7">
      <c r="A336" s="75">
        <v>1</v>
      </c>
      <c r="B336" s="76">
        <v>2</v>
      </c>
      <c r="C336" s="131"/>
      <c r="D336" s="76">
        <v>3</v>
      </c>
      <c r="E336" s="76">
        <v>4</v>
      </c>
      <c r="F336" s="77">
        <v>5</v>
      </c>
      <c r="G336" s="77"/>
    </row>
    <row r="337" spans="1:7">
      <c r="A337" s="530" t="s">
        <v>172</v>
      </c>
      <c r="B337" s="136">
        <v>63.58</v>
      </c>
      <c r="C337">
        <v>0</v>
      </c>
      <c r="D337" s="148">
        <v>0</v>
      </c>
      <c r="E337" s="148">
        <v>0</v>
      </c>
      <c r="F337" s="149">
        <v>0</v>
      </c>
      <c r="G337" s="149">
        <v>0</v>
      </c>
    </row>
    <row r="338" spans="1:7">
      <c r="A338" s="530" t="s">
        <v>173</v>
      </c>
      <c r="B338" s="136">
        <v>68.86</v>
      </c>
      <c r="C338" s="79">
        <f>B337</f>
        <v>63.58</v>
      </c>
      <c r="D338" s="148">
        <v>0</v>
      </c>
      <c r="E338" s="148">
        <v>0</v>
      </c>
      <c r="F338" s="149">
        <v>0</v>
      </c>
      <c r="G338" s="149">
        <v>0</v>
      </c>
    </row>
    <row r="339" spans="1:7">
      <c r="A339" s="530" t="s">
        <v>174</v>
      </c>
      <c r="B339" s="136">
        <v>72.54</v>
      </c>
      <c r="C339" s="79">
        <f t="shared" ref="C339:C387" si="5">B338</f>
        <v>68.86</v>
      </c>
      <c r="D339" s="148">
        <v>0</v>
      </c>
      <c r="E339" s="148">
        <v>0</v>
      </c>
      <c r="F339" s="149">
        <v>0</v>
      </c>
      <c r="G339" s="149">
        <v>0</v>
      </c>
    </row>
    <row r="340" spans="1:7">
      <c r="A340" s="530" t="s">
        <v>175</v>
      </c>
      <c r="B340" s="136">
        <v>76.67</v>
      </c>
      <c r="C340" s="79">
        <f t="shared" si="5"/>
        <v>72.54</v>
      </c>
      <c r="D340" s="148">
        <v>0</v>
      </c>
      <c r="E340" s="148">
        <v>0</v>
      </c>
      <c r="F340" s="149">
        <v>0</v>
      </c>
      <c r="G340" s="149">
        <v>0</v>
      </c>
    </row>
    <row r="341" spans="1:7">
      <c r="A341" s="530" t="s">
        <v>176</v>
      </c>
      <c r="B341" s="136">
        <v>81.37</v>
      </c>
      <c r="C341" s="79">
        <f t="shared" si="5"/>
        <v>76.67</v>
      </c>
      <c r="D341" s="148">
        <v>0</v>
      </c>
      <c r="E341" s="148">
        <v>0</v>
      </c>
      <c r="F341" s="149">
        <v>0</v>
      </c>
      <c r="G341" s="149">
        <v>0</v>
      </c>
    </row>
    <row r="342" spans="1:7">
      <c r="A342" s="530" t="s">
        <v>177</v>
      </c>
      <c r="B342" s="136">
        <v>85.9</v>
      </c>
      <c r="C342" s="79">
        <f t="shared" si="5"/>
        <v>81.37</v>
      </c>
      <c r="D342" s="148">
        <v>0</v>
      </c>
      <c r="E342" s="148">
        <v>0</v>
      </c>
      <c r="F342" s="149">
        <v>0</v>
      </c>
      <c r="G342" s="149">
        <v>0</v>
      </c>
    </row>
    <row r="343" spans="1:7">
      <c r="A343" s="530" t="s">
        <v>178</v>
      </c>
      <c r="B343" s="136">
        <v>89.78</v>
      </c>
      <c r="C343" s="79">
        <f t="shared" si="5"/>
        <v>85.9</v>
      </c>
      <c r="D343" s="148">
        <v>0</v>
      </c>
      <c r="E343" s="148">
        <v>0</v>
      </c>
      <c r="F343" s="149">
        <v>0</v>
      </c>
      <c r="G343" s="149">
        <v>0</v>
      </c>
    </row>
    <row r="344" spans="1:7">
      <c r="A344" s="78" t="s">
        <v>179</v>
      </c>
      <c r="B344" s="136">
        <v>92.37</v>
      </c>
      <c r="C344" s="79">
        <f t="shared" si="5"/>
        <v>89.78</v>
      </c>
      <c r="D344" s="148">
        <v>0</v>
      </c>
      <c r="E344" s="148">
        <v>0</v>
      </c>
      <c r="F344" s="149">
        <v>0</v>
      </c>
      <c r="G344" s="149">
        <v>0</v>
      </c>
    </row>
    <row r="345" spans="1:7">
      <c r="A345" s="78" t="s">
        <v>180</v>
      </c>
      <c r="B345" s="136">
        <v>95</v>
      </c>
      <c r="C345" s="79">
        <f t="shared" si="5"/>
        <v>92.37</v>
      </c>
      <c r="D345" s="148">
        <v>0</v>
      </c>
      <c r="E345" s="148">
        <v>0</v>
      </c>
      <c r="F345" s="149">
        <v>0.00153578947368423</v>
      </c>
      <c r="G345" s="149">
        <v>0</v>
      </c>
    </row>
    <row r="346" spans="1:7">
      <c r="A346" s="78" t="s">
        <v>181</v>
      </c>
      <c r="B346" s="136">
        <v>97.74</v>
      </c>
      <c r="C346" s="79">
        <f t="shared" si="5"/>
        <v>95</v>
      </c>
      <c r="D346" s="148">
        <v>0.0245488029465929</v>
      </c>
      <c r="E346" s="148"/>
      <c r="F346" s="149">
        <v>0.00429609167178229</v>
      </c>
      <c r="G346" s="149">
        <v>0.00024554941682013</v>
      </c>
    </row>
    <row r="347" spans="1:7">
      <c r="A347" s="78" t="s">
        <v>182</v>
      </c>
      <c r="B347" s="136">
        <v>101</v>
      </c>
      <c r="C347" s="79">
        <f t="shared" si="5"/>
        <v>97.74</v>
      </c>
      <c r="D347" s="148">
        <v>0.0560336633663365</v>
      </c>
      <c r="E347" s="148"/>
      <c r="F347" s="149">
        <v>0.0073851485148515</v>
      </c>
      <c r="G347" s="149">
        <v>0.00346534653465347</v>
      </c>
    </row>
    <row r="348" spans="1:7">
      <c r="A348" s="78" t="s">
        <v>183</v>
      </c>
      <c r="B348" s="136">
        <v>104.27</v>
      </c>
      <c r="C348" s="79">
        <f t="shared" si="5"/>
        <v>101</v>
      </c>
      <c r="D348" s="148">
        <v>0.0856372878104919</v>
      </c>
      <c r="E348" s="148"/>
      <c r="F348" s="149">
        <v>0.0102896326843771</v>
      </c>
      <c r="G348" s="149">
        <v>0.00649275918289057</v>
      </c>
    </row>
    <row r="349" spans="1:7">
      <c r="A349" s="78" t="s">
        <v>184</v>
      </c>
      <c r="B349" s="136">
        <v>107.73</v>
      </c>
      <c r="C349" s="79">
        <f t="shared" si="5"/>
        <v>104.27</v>
      </c>
      <c r="D349" s="148">
        <v>0.11500417710944</v>
      </c>
      <c r="E349" s="148">
        <v>0.011500417710944</v>
      </c>
      <c r="F349" s="149">
        <v>0.0131708901884341</v>
      </c>
      <c r="G349" s="149">
        <v>0.00949596212754108</v>
      </c>
    </row>
    <row r="350" spans="1:7">
      <c r="A350" s="78" t="s">
        <v>185</v>
      </c>
      <c r="B350" s="136">
        <v>110.32</v>
      </c>
      <c r="C350" s="79">
        <f t="shared" si="5"/>
        <v>107.73</v>
      </c>
      <c r="D350" s="148">
        <v>0.135781363306744</v>
      </c>
      <c r="E350" s="148">
        <v>0.0135781363306744</v>
      </c>
      <c r="F350" s="149">
        <v>0.0152093908629442</v>
      </c>
      <c r="G350" s="149">
        <v>0.0116207396664249</v>
      </c>
    </row>
    <row r="351" spans="1:7">
      <c r="A351" s="78" t="s">
        <v>186</v>
      </c>
      <c r="B351" s="136">
        <v>114.49</v>
      </c>
      <c r="C351" s="79">
        <f t="shared" si="5"/>
        <v>110.32</v>
      </c>
      <c r="D351" s="148">
        <v>0.16725827583195</v>
      </c>
      <c r="E351" s="148">
        <v>0.016725827583195</v>
      </c>
      <c r="F351" s="149">
        <v>0.0182976679185955</v>
      </c>
      <c r="G351" s="149">
        <v>0.0148397239933619</v>
      </c>
    </row>
    <row r="352" spans="1:7">
      <c r="A352" s="78" t="s">
        <v>187</v>
      </c>
      <c r="B352" s="136">
        <v>119.63</v>
      </c>
      <c r="C352" s="79">
        <f t="shared" si="5"/>
        <v>114.49</v>
      </c>
      <c r="D352" s="148">
        <v>0.203037699573685</v>
      </c>
      <c r="E352" s="148">
        <v>0.0203037699573685</v>
      </c>
      <c r="F352" s="149">
        <v>0.0218080748976009</v>
      </c>
      <c r="G352" s="149">
        <v>0.0184987043383767</v>
      </c>
    </row>
    <row r="353" spans="1:7">
      <c r="A353" s="78" t="s">
        <v>188</v>
      </c>
      <c r="B353" s="136">
        <v>122.54</v>
      </c>
      <c r="C353" s="79">
        <f t="shared" si="5"/>
        <v>119.63</v>
      </c>
      <c r="D353" s="148">
        <v>0.221963440509221</v>
      </c>
      <c r="E353" s="148">
        <v>0.0221963440509221</v>
      </c>
      <c r="F353" s="149">
        <v>0.0236649257385344</v>
      </c>
      <c r="G353" s="149">
        <v>0.0204341439529949</v>
      </c>
    </row>
    <row r="354" spans="1:7">
      <c r="A354" s="78" t="s">
        <v>189</v>
      </c>
      <c r="B354" s="136">
        <v>126.52</v>
      </c>
      <c r="C354" s="79">
        <f t="shared" si="5"/>
        <v>122.54</v>
      </c>
      <c r="D354" s="148">
        <v>0.246438507745811</v>
      </c>
      <c r="E354" s="148">
        <v>0.0246438507745811</v>
      </c>
      <c r="F354" s="149">
        <v>0.026066234587417</v>
      </c>
      <c r="G354" s="149">
        <v>0.0229370850458426</v>
      </c>
    </row>
    <row r="355" spans="1:7">
      <c r="A355" s="78" t="s">
        <v>190</v>
      </c>
      <c r="B355" s="136">
        <v>130.3</v>
      </c>
      <c r="C355" s="79">
        <f t="shared" si="5"/>
        <v>126.52</v>
      </c>
      <c r="D355" s="148">
        <v>0.268299309286262</v>
      </c>
      <c r="E355" s="148">
        <v>0.0268299309286262</v>
      </c>
      <c r="F355" s="149">
        <v>0.0282110514198005</v>
      </c>
      <c r="G355" s="149">
        <v>0.0251726784343822</v>
      </c>
    </row>
    <row r="356" spans="1:7">
      <c r="A356" s="78" t="s">
        <v>191</v>
      </c>
      <c r="B356" s="136">
        <v>133.85</v>
      </c>
      <c r="C356" s="79">
        <f t="shared" si="5"/>
        <v>130.3</v>
      </c>
      <c r="D356" s="148">
        <v>0.28770564064251</v>
      </c>
      <c r="E356" s="148">
        <v>0.028770564064251</v>
      </c>
      <c r="F356" s="149">
        <v>0.0301150541651102</v>
      </c>
      <c r="G356" s="149">
        <v>0.0271572655958162</v>
      </c>
    </row>
    <row r="357" spans="1:7">
      <c r="A357" s="78" t="s">
        <v>192</v>
      </c>
      <c r="B357" s="136">
        <v>135.97</v>
      </c>
      <c r="C357" s="79">
        <f t="shared" si="5"/>
        <v>133.85</v>
      </c>
      <c r="D357" s="148">
        <v>0.298811502537324</v>
      </c>
      <c r="E357" s="148">
        <v>0.0298811502537324</v>
      </c>
      <c r="F357" s="149">
        <v>0.0312046775023902</v>
      </c>
      <c r="G357" s="149">
        <v>0.0282930058101052</v>
      </c>
    </row>
    <row r="358" spans="1:7">
      <c r="A358" s="78" t="s">
        <v>193</v>
      </c>
      <c r="B358" s="136">
        <v>138.97</v>
      </c>
      <c r="C358" s="79">
        <f t="shared" si="5"/>
        <v>135.97</v>
      </c>
      <c r="D358" s="148">
        <v>0.313948334172843</v>
      </c>
      <c r="E358" s="148">
        <v>0.0313948334172843</v>
      </c>
      <c r="F358" s="149">
        <v>0.0326897891631288</v>
      </c>
      <c r="G358" s="149">
        <v>0.0298409728718428</v>
      </c>
    </row>
    <row r="359" spans="1:7">
      <c r="A359" s="78" t="s">
        <v>194</v>
      </c>
      <c r="B359" s="136">
        <v>142.84</v>
      </c>
      <c r="C359" s="79">
        <f t="shared" si="5"/>
        <v>138.97</v>
      </c>
      <c r="D359" s="148">
        <v>0.332535704284514</v>
      </c>
      <c r="E359" s="148">
        <v>0.0332535704284514</v>
      </c>
      <c r="F359" s="149">
        <v>0.0345134416129936</v>
      </c>
      <c r="G359" s="149">
        <v>0.0317418090170821</v>
      </c>
    </row>
    <row r="360" spans="1:7">
      <c r="A360" s="78" t="s">
        <v>195</v>
      </c>
      <c r="B360" s="136">
        <v>146.62</v>
      </c>
      <c r="C360" s="79">
        <f t="shared" si="5"/>
        <v>142.84</v>
      </c>
      <c r="D360" s="148">
        <v>0.349743554767426</v>
      </c>
      <c r="E360" s="148">
        <v>0.0349743554767426</v>
      </c>
      <c r="F360" s="149">
        <v>0.0362017460100941</v>
      </c>
      <c r="G360" s="149">
        <v>0.0335015686809439</v>
      </c>
    </row>
    <row r="361" spans="1:7">
      <c r="A361" s="78" t="s">
        <v>196</v>
      </c>
      <c r="B361" s="136">
        <v>150.33</v>
      </c>
      <c r="C361" s="79">
        <f t="shared" si="5"/>
        <v>146.62</v>
      </c>
      <c r="D361" s="148">
        <v>0.365791259229695</v>
      </c>
      <c r="E361" s="148">
        <v>0.0365791259229695</v>
      </c>
      <c r="F361" s="149">
        <v>0.0377762256369321</v>
      </c>
      <c r="G361" s="149">
        <v>0.0351426860906007</v>
      </c>
    </row>
    <row r="362" spans="1:7">
      <c r="A362" s="78" t="s">
        <v>197</v>
      </c>
      <c r="B362" s="136">
        <v>154.4</v>
      </c>
      <c r="C362" s="79">
        <f t="shared" si="5"/>
        <v>150.33</v>
      </c>
      <c r="D362" s="148">
        <v>0.382509067357513</v>
      </c>
      <c r="E362" s="148">
        <v>0.0382509067357513</v>
      </c>
      <c r="F362" s="149">
        <v>0.0394164507772021</v>
      </c>
      <c r="G362" s="149">
        <v>0.0368523316062176</v>
      </c>
    </row>
    <row r="363" spans="1:7">
      <c r="A363" s="78" t="s">
        <v>198</v>
      </c>
      <c r="B363" s="136">
        <v>159.39</v>
      </c>
      <c r="C363" s="79">
        <f t="shared" si="5"/>
        <v>154.4</v>
      </c>
      <c r="D363" s="148">
        <v>0.401840767927724</v>
      </c>
      <c r="E363" s="148">
        <v>0.0411044607566346</v>
      </c>
      <c r="F363" s="149">
        <v>0.0478787878787879</v>
      </c>
      <c r="G363" s="149">
        <v>0.0388292866553736</v>
      </c>
    </row>
    <row r="364" spans="1:7">
      <c r="A364" s="78" t="s">
        <v>199</v>
      </c>
      <c r="B364" s="136">
        <v>163.91</v>
      </c>
      <c r="C364" s="79">
        <f t="shared" si="5"/>
        <v>159.39</v>
      </c>
      <c r="D364" s="148">
        <v>0.41833567201513</v>
      </c>
      <c r="E364" s="148">
        <v>0.0510014032090781</v>
      </c>
      <c r="F364" s="149">
        <v>0.0575889207491917</v>
      </c>
      <c r="G364" s="149">
        <v>0.0430968214263925</v>
      </c>
    </row>
    <row r="365" spans="1:7">
      <c r="A365" s="78" t="s">
        <v>200</v>
      </c>
      <c r="B365" s="136">
        <v>167.59</v>
      </c>
      <c r="C365" s="79">
        <f t="shared" si="5"/>
        <v>163.91</v>
      </c>
      <c r="D365" s="148">
        <v>0.431108061340175</v>
      </c>
      <c r="E365" s="148">
        <v>0.0586648368041052</v>
      </c>
      <c r="F365" s="149">
        <v>0.0651077033235874</v>
      </c>
      <c r="G365" s="149">
        <v>0.0509338266006325</v>
      </c>
    </row>
    <row r="366" spans="1:7">
      <c r="A366" s="78" t="s">
        <v>201</v>
      </c>
      <c r="B366" s="136">
        <v>171.89</v>
      </c>
      <c r="C366" s="79">
        <f t="shared" si="5"/>
        <v>167.59</v>
      </c>
      <c r="D366" s="148">
        <v>0.445339461283379</v>
      </c>
      <c r="E366" s="148">
        <v>0.0672036767700273</v>
      </c>
      <c r="F366" s="149">
        <v>0.0734853685496539</v>
      </c>
      <c r="G366" s="149">
        <v>0.0596660655070103</v>
      </c>
    </row>
    <row r="367" spans="1:7">
      <c r="A367" s="78" t="s">
        <v>202</v>
      </c>
      <c r="B367" s="136">
        <v>176.79</v>
      </c>
      <c r="C367" s="79">
        <f t="shared" si="5"/>
        <v>171.89</v>
      </c>
      <c r="D367" s="148">
        <v>0.460712709994909</v>
      </c>
      <c r="E367" s="148">
        <v>0.0764276259969455</v>
      </c>
      <c r="F367" s="149">
        <v>0.0825352112676057</v>
      </c>
      <c r="G367" s="149">
        <v>0.0690989309350076</v>
      </c>
    </row>
    <row r="368" spans="1:7">
      <c r="A368" s="78" t="s">
        <v>203</v>
      </c>
      <c r="B368" s="136">
        <v>180.83</v>
      </c>
      <c r="C368" s="79">
        <f t="shared" si="5"/>
        <v>176.79</v>
      </c>
      <c r="D368" s="148">
        <v>0.472761156887685</v>
      </c>
      <c r="E368" s="148">
        <v>0.0836566941326107</v>
      </c>
      <c r="F368" s="149">
        <v>0.0896278272410552</v>
      </c>
      <c r="G368" s="149">
        <v>0.0764917325664989</v>
      </c>
    </row>
    <row r="369" spans="1:7">
      <c r="A369" s="78" t="s">
        <v>204</v>
      </c>
      <c r="B369" s="136">
        <v>185.29</v>
      </c>
      <c r="C369" s="79">
        <f t="shared" si="5"/>
        <v>180.83</v>
      </c>
      <c r="D369" s="148">
        <v>0.485451994171299</v>
      </c>
      <c r="E369" s="148">
        <v>0.0912711965027794</v>
      </c>
      <c r="F369" s="149">
        <v>0.0970986021911598</v>
      </c>
      <c r="G369" s="149">
        <v>0.0842786982567866</v>
      </c>
    </row>
    <row r="370" spans="1:7">
      <c r="A370" s="78" t="s">
        <v>205</v>
      </c>
      <c r="B370" s="136">
        <v>188.18</v>
      </c>
      <c r="C370" s="79">
        <f t="shared" si="5"/>
        <v>185.29</v>
      </c>
      <c r="D370" s="148">
        <v>0.493354235306621</v>
      </c>
      <c r="E370" s="148">
        <v>0.0960125411839728</v>
      </c>
      <c r="F370" s="149">
        <v>0.101750451695186</v>
      </c>
      <c r="G370" s="149">
        <v>0.08912743118291</v>
      </c>
    </row>
    <row r="371" spans="1:7">
      <c r="A371" s="78" t="s">
        <v>206</v>
      </c>
      <c r="B371" s="136">
        <v>190.71</v>
      </c>
      <c r="C371" s="79">
        <f t="shared" si="5"/>
        <v>188.18</v>
      </c>
      <c r="D371" s="148">
        <v>0.500075507314771</v>
      </c>
      <c r="E371" s="148">
        <v>0.100045304388863</v>
      </c>
      <c r="F371" s="149">
        <v>0.10570709454145</v>
      </c>
      <c r="G371" s="149">
        <v>0.0932515337423313</v>
      </c>
    </row>
    <row r="372" spans="1:7">
      <c r="A372" s="78" t="s">
        <v>207</v>
      </c>
      <c r="B372" s="136">
        <v>196.45</v>
      </c>
      <c r="C372" s="79">
        <f t="shared" si="5"/>
        <v>190.71</v>
      </c>
      <c r="D372" s="148">
        <v>0.514682616441843</v>
      </c>
      <c r="E372" s="148">
        <v>0.108809569865106</v>
      </c>
      <c r="F372" s="149">
        <v>0.114305930262153</v>
      </c>
      <c r="G372" s="149">
        <v>0.102214303894121</v>
      </c>
    </row>
    <row r="373" spans="1:7">
      <c r="A373" s="78" t="s">
        <v>208</v>
      </c>
      <c r="B373" s="136">
        <v>202.31</v>
      </c>
      <c r="C373" s="79">
        <f t="shared" si="5"/>
        <v>196.45</v>
      </c>
      <c r="D373" s="148">
        <v>0.52874005239484</v>
      </c>
      <c r="E373" s="148">
        <v>0.117244031436904</v>
      </c>
      <c r="F373" s="149">
        <v>0.122581187286837</v>
      </c>
      <c r="G373" s="149">
        <v>0.11083980030646</v>
      </c>
    </row>
    <row r="374" spans="1:7">
      <c r="A374" s="78" t="s">
        <v>209</v>
      </c>
      <c r="B374" s="136">
        <v>210.34</v>
      </c>
      <c r="C374" s="79">
        <f t="shared" si="5"/>
        <v>202.31</v>
      </c>
      <c r="D374" s="148">
        <v>0.546731006941143</v>
      </c>
      <c r="E374" s="148">
        <v>0.128038604164686</v>
      </c>
      <c r="F374" s="149">
        <v>0.133172007226395</v>
      </c>
      <c r="G374" s="149">
        <v>0.121878862793572</v>
      </c>
    </row>
    <row r="375" spans="1:7">
      <c r="A375" s="78" t="s">
        <v>210</v>
      </c>
      <c r="B375" s="136">
        <v>218.87</v>
      </c>
      <c r="C375" s="79">
        <f t="shared" si="5"/>
        <v>210.34</v>
      </c>
      <c r="D375" s="148">
        <v>0.564396216932426</v>
      </c>
      <c r="E375" s="148">
        <v>0.138637730159455</v>
      </c>
      <c r="F375" s="149">
        <v>0.143571069584685</v>
      </c>
      <c r="G375" s="149">
        <v>0.132718051811578</v>
      </c>
    </row>
    <row r="376" spans="1:7">
      <c r="A376" s="78" t="s">
        <v>211</v>
      </c>
      <c r="B376" s="136">
        <v>224.72</v>
      </c>
      <c r="C376" s="79">
        <f t="shared" si="5"/>
        <v>218.87</v>
      </c>
      <c r="D376" s="148">
        <v>0.575736027055892</v>
      </c>
      <c r="E376" s="148">
        <v>0.145441616233535</v>
      </c>
      <c r="F376" s="149">
        <v>0.150246529013884</v>
      </c>
      <c r="G376" s="149">
        <v>0.139676041295835</v>
      </c>
    </row>
    <row r="377" spans="1:7">
      <c r="A377" s="78" t="s">
        <v>212</v>
      </c>
      <c r="B377" s="136">
        <v>230.18</v>
      </c>
      <c r="C377" s="79">
        <f t="shared" si="5"/>
        <v>224.72</v>
      </c>
      <c r="D377" s="148">
        <v>0.585799808845252</v>
      </c>
      <c r="E377" s="148">
        <v>0.151479885307151</v>
      </c>
      <c r="F377" s="149">
        <v>0.156170822834304</v>
      </c>
      <c r="G377" s="149">
        <v>0.145851073073247</v>
      </c>
    </row>
    <row r="378" spans="1:7">
      <c r="A378" s="78" t="s">
        <v>213</v>
      </c>
      <c r="B378" s="136">
        <v>234.74</v>
      </c>
      <c r="C378" s="79">
        <f t="shared" si="5"/>
        <v>230.18</v>
      </c>
      <c r="D378" s="148">
        <v>0.593845957229275</v>
      </c>
      <c r="E378" s="148">
        <v>0.156307574337565</v>
      </c>
      <c r="F378" s="149">
        <v>0.16090738689614</v>
      </c>
      <c r="G378" s="149">
        <v>0.150788105989606</v>
      </c>
    </row>
    <row r="379" spans="1:7">
      <c r="A379" s="78" t="s">
        <v>214</v>
      </c>
      <c r="B379" s="136">
        <v>240.89</v>
      </c>
      <c r="C379" s="79">
        <f t="shared" si="5"/>
        <v>234.74</v>
      </c>
      <c r="D379" s="148">
        <v>0.604215201959401</v>
      </c>
      <c r="E379" s="148">
        <v>0.16252912117564</v>
      </c>
      <c r="F379" s="149">
        <v>0.167011499024451</v>
      </c>
      <c r="G379" s="149">
        <v>0.157150566648678</v>
      </c>
    </row>
    <row r="380" spans="1:7">
      <c r="A380" s="78" t="s">
        <v>215</v>
      </c>
      <c r="B380" s="136">
        <v>250.99</v>
      </c>
      <c r="C380" s="79">
        <f t="shared" si="5"/>
        <v>240.89</v>
      </c>
      <c r="D380" s="148">
        <v>0.620141838320252</v>
      </c>
      <c r="E380" s="148">
        <v>0.172085102992151</v>
      </c>
      <c r="F380" s="149">
        <v>0.176387107056058</v>
      </c>
      <c r="G380" s="149">
        <v>0.166922984979481</v>
      </c>
    </row>
    <row r="381" spans="1:7">
      <c r="A381" s="78" t="s">
        <v>216</v>
      </c>
      <c r="B381" s="136">
        <v>261.4</v>
      </c>
      <c r="C381" s="79">
        <f t="shared" si="5"/>
        <v>250.99</v>
      </c>
      <c r="D381" s="148">
        <v>0.635269319051262</v>
      </c>
      <c r="E381" s="148">
        <v>0.181161591430757</v>
      </c>
      <c r="F381" s="149">
        <v>0.185292272379495</v>
      </c>
      <c r="G381" s="149">
        <v>0.176205049732211</v>
      </c>
    </row>
    <row r="382" spans="1:7">
      <c r="A382" s="78" t="s">
        <v>217</v>
      </c>
      <c r="B382" s="136">
        <v>272.56</v>
      </c>
      <c r="C382" s="79">
        <f t="shared" si="5"/>
        <v>261.4</v>
      </c>
      <c r="D382" s="148">
        <v>0.650203257998239</v>
      </c>
      <c r="E382" s="148">
        <v>0.190121954798943</v>
      </c>
      <c r="F382" s="149">
        <v>0.194083504549457</v>
      </c>
      <c r="G382" s="149">
        <v>0.185368359260346</v>
      </c>
    </row>
    <row r="383" spans="1:7">
      <c r="A383" s="78" t="s">
        <v>218</v>
      </c>
      <c r="B383" s="136">
        <v>289.91</v>
      </c>
      <c r="C383" s="79">
        <f t="shared" si="5"/>
        <v>272.56</v>
      </c>
      <c r="D383" s="148">
        <v>0.671137249491221</v>
      </c>
      <c r="E383" s="148">
        <v>0.202682349694733</v>
      </c>
      <c r="F383" s="149">
        <v>0.206406815908385</v>
      </c>
      <c r="G383" s="149">
        <v>0.198213238591287</v>
      </c>
    </row>
    <row r="384" spans="1:7">
      <c r="A384" s="78" t="s">
        <v>219</v>
      </c>
      <c r="B384" s="136">
        <v>310.74</v>
      </c>
      <c r="C384" s="79">
        <f t="shared" si="5"/>
        <v>289.91</v>
      </c>
      <c r="D384" s="148">
        <v>0.693182081482912</v>
      </c>
      <c r="E384" s="148">
        <v>0.215909248889747</v>
      </c>
      <c r="F384" s="149">
        <v>0.219384050975092</v>
      </c>
      <c r="G384" s="149">
        <v>0.211739718092296</v>
      </c>
    </row>
    <row r="385" spans="1:7">
      <c r="A385" s="78" t="s">
        <v>220</v>
      </c>
      <c r="B385" s="136">
        <v>328.32</v>
      </c>
      <c r="C385" s="79">
        <f t="shared" si="5"/>
        <v>310.74</v>
      </c>
      <c r="D385" s="148">
        <v>0.709610745614035</v>
      </c>
      <c r="E385" s="148">
        <v>0.225766447368421</v>
      </c>
      <c r="F385" s="149">
        <v>0.22905519005848</v>
      </c>
      <c r="G385" s="149">
        <v>0.221820175438597</v>
      </c>
    </row>
    <row r="386" spans="1:7">
      <c r="A386" s="78" t="s">
        <v>221</v>
      </c>
      <c r="B386" s="136">
        <v>347.33</v>
      </c>
      <c r="C386" s="79">
        <f t="shared" si="5"/>
        <v>328.32</v>
      </c>
      <c r="D386" s="148">
        <v>0.725504275472893</v>
      </c>
      <c r="E386" s="148">
        <v>0.235302565283736</v>
      </c>
      <c r="F386" s="149">
        <v>0.238411309129646</v>
      </c>
      <c r="G386" s="149">
        <v>0.231572279964299</v>
      </c>
    </row>
    <row r="387" spans="1:7">
      <c r="A387" s="78" t="s">
        <v>221</v>
      </c>
      <c r="B387" s="78" t="s">
        <v>430</v>
      </c>
      <c r="C387" s="79">
        <f t="shared" si="5"/>
        <v>347.33</v>
      </c>
      <c r="D387" s="117" t="s">
        <v>124</v>
      </c>
      <c r="E387" s="78"/>
      <c r="F387" s="147"/>
      <c r="G387" s="147"/>
    </row>
    <row r="388" spans="1:7">
      <c r="A388" s="78"/>
      <c r="B388" s="78"/>
      <c r="D388" s="78" t="s">
        <v>124</v>
      </c>
      <c r="E388" s="150">
        <v>0.0716481978386276</v>
      </c>
      <c r="F388" s="146">
        <v>0.0745923786489802</v>
      </c>
      <c r="G388" s="146">
        <v>0.0682693054222091</v>
      </c>
    </row>
    <row r="389" ht="24" spans="1:7">
      <c r="A389" s="106" t="s">
        <v>233</v>
      </c>
      <c r="B389" s="78"/>
      <c r="D389" s="78" t="s">
        <v>124</v>
      </c>
      <c r="E389" s="89">
        <v>158.901</v>
      </c>
      <c r="F389" s="151">
        <v>155.901666666667</v>
      </c>
      <c r="G389" s="91">
        <v>162.5</v>
      </c>
    </row>
    <row r="390" ht="24" spans="1:7">
      <c r="A390" s="106" t="s">
        <v>224</v>
      </c>
      <c r="B390" s="93">
        <v>162.5</v>
      </c>
      <c r="D390" s="78"/>
      <c r="E390" s="89"/>
      <c r="F390" s="151"/>
      <c r="G390" s="151"/>
    </row>
    <row r="391" ht="36" spans="1:7">
      <c r="A391" s="106" t="s">
        <v>225</v>
      </c>
      <c r="B391" s="93">
        <v>97.5</v>
      </c>
      <c r="D391" s="78"/>
      <c r="E391" s="89">
        <v>95.3406</v>
      </c>
      <c r="F391" s="151">
        <v>93.541</v>
      </c>
      <c r="G391" s="151">
        <v>97.5</v>
      </c>
    </row>
    <row r="394" spans="1:2">
      <c r="A394" s="531" t="s">
        <v>226</v>
      </c>
      <c r="B394" s="95">
        <f>AVERAGE(B342:B381)</f>
        <v>158.901</v>
      </c>
    </row>
    <row r="395" spans="1:2">
      <c r="A395" s="531" t="s">
        <v>227</v>
      </c>
      <c r="B395" s="96">
        <f>AVERAGE(B347:B376)</f>
        <v>155.901666666667</v>
      </c>
    </row>
    <row r="396" spans="1:2">
      <c r="A396" s="531" t="s">
        <v>228</v>
      </c>
      <c r="B396" s="96">
        <f>AVERAGE(B353:B371)</f>
        <v>156.153684210526</v>
      </c>
    </row>
    <row r="402" spans="3:3">
      <c r="C402">
        <v>0</v>
      </c>
    </row>
    <row r="403" spans="3:3">
      <c r="C403" s="79">
        <f>B402</f>
        <v>0</v>
      </c>
    </row>
    <row r="404" spans="3:3">
      <c r="C404" s="79">
        <f t="shared" ref="C404:C452" si="6">B403</f>
        <v>0</v>
      </c>
    </row>
    <row r="405" spans="3:3">
      <c r="C405" s="79">
        <f t="shared" si="6"/>
        <v>0</v>
      </c>
    </row>
    <row r="406" spans="3:3">
      <c r="C406" s="79">
        <f t="shared" si="6"/>
        <v>0</v>
      </c>
    </row>
    <row r="407" spans="3:3">
      <c r="C407" s="79">
        <f t="shared" si="6"/>
        <v>0</v>
      </c>
    </row>
    <row r="408" spans="3:3">
      <c r="C408" s="79">
        <f t="shared" si="6"/>
        <v>0</v>
      </c>
    </row>
    <row r="409" spans="3:3">
      <c r="C409" s="79">
        <f t="shared" si="6"/>
        <v>0</v>
      </c>
    </row>
    <row r="410" spans="3:3">
      <c r="C410" s="79">
        <f t="shared" si="6"/>
        <v>0</v>
      </c>
    </row>
    <row r="411" spans="3:3">
      <c r="C411" s="79">
        <f t="shared" si="6"/>
        <v>0</v>
      </c>
    </row>
    <row r="412" spans="3:3">
      <c r="C412" s="79">
        <f t="shared" si="6"/>
        <v>0</v>
      </c>
    </row>
    <row r="413" spans="3:3">
      <c r="C413" s="79">
        <f t="shared" si="6"/>
        <v>0</v>
      </c>
    </row>
    <row r="414" spans="3:3">
      <c r="C414" s="79">
        <f t="shared" si="6"/>
        <v>0</v>
      </c>
    </row>
    <row r="415" spans="3:3">
      <c r="C415" s="79">
        <f t="shared" si="6"/>
        <v>0</v>
      </c>
    </row>
    <row r="416" spans="3:3">
      <c r="C416" s="79">
        <f t="shared" si="6"/>
        <v>0</v>
      </c>
    </row>
    <row r="417" spans="3:3">
      <c r="C417" s="79">
        <f t="shared" si="6"/>
        <v>0</v>
      </c>
    </row>
    <row r="418" spans="3:3">
      <c r="C418" s="79">
        <f t="shared" si="6"/>
        <v>0</v>
      </c>
    </row>
    <row r="419" spans="3:3">
      <c r="C419" s="79">
        <f t="shared" si="6"/>
        <v>0</v>
      </c>
    </row>
    <row r="420" spans="3:3">
      <c r="C420" s="79">
        <f t="shared" si="6"/>
        <v>0</v>
      </c>
    </row>
    <row r="421" spans="3:3">
      <c r="C421" s="79">
        <f t="shared" si="6"/>
        <v>0</v>
      </c>
    </row>
    <row r="422" spans="3:3">
      <c r="C422" s="79">
        <f t="shared" si="6"/>
        <v>0</v>
      </c>
    </row>
    <row r="423" spans="3:3">
      <c r="C423" s="79">
        <f t="shared" si="6"/>
        <v>0</v>
      </c>
    </row>
    <row r="424" spans="3:3">
      <c r="C424" s="79">
        <f t="shared" si="6"/>
        <v>0</v>
      </c>
    </row>
    <row r="425" spans="3:3">
      <c r="C425" s="79">
        <f t="shared" si="6"/>
        <v>0</v>
      </c>
    </row>
    <row r="426" spans="3:3">
      <c r="C426" s="79">
        <f t="shared" si="6"/>
        <v>0</v>
      </c>
    </row>
    <row r="427" spans="3:3">
      <c r="C427" s="79">
        <f t="shared" si="6"/>
        <v>0</v>
      </c>
    </row>
    <row r="428" spans="3:3">
      <c r="C428" s="79">
        <f t="shared" si="6"/>
        <v>0</v>
      </c>
    </row>
    <row r="429" spans="3:3">
      <c r="C429" s="79">
        <f t="shared" si="6"/>
        <v>0</v>
      </c>
    </row>
    <row r="430" spans="3:3">
      <c r="C430" s="79">
        <f t="shared" si="6"/>
        <v>0</v>
      </c>
    </row>
    <row r="431" spans="3:3">
      <c r="C431" s="79">
        <f t="shared" si="6"/>
        <v>0</v>
      </c>
    </row>
    <row r="432" spans="3:3">
      <c r="C432" s="79">
        <f t="shared" si="6"/>
        <v>0</v>
      </c>
    </row>
    <row r="433" spans="3:3">
      <c r="C433" s="79">
        <f t="shared" si="6"/>
        <v>0</v>
      </c>
    </row>
    <row r="434" spans="3:3">
      <c r="C434" s="79">
        <f t="shared" si="6"/>
        <v>0</v>
      </c>
    </row>
    <row r="435" spans="3:3">
      <c r="C435" s="79">
        <f t="shared" si="6"/>
        <v>0</v>
      </c>
    </row>
    <row r="436" spans="3:3">
      <c r="C436" s="79">
        <f t="shared" si="6"/>
        <v>0</v>
      </c>
    </row>
    <row r="437" spans="3:3">
      <c r="C437" s="79">
        <f t="shared" si="6"/>
        <v>0</v>
      </c>
    </row>
    <row r="438" spans="3:3">
      <c r="C438" s="79">
        <f t="shared" si="6"/>
        <v>0</v>
      </c>
    </row>
    <row r="439" spans="3:3">
      <c r="C439" s="79">
        <f t="shared" si="6"/>
        <v>0</v>
      </c>
    </row>
    <row r="440" spans="3:3">
      <c r="C440" s="79">
        <f t="shared" si="6"/>
        <v>0</v>
      </c>
    </row>
    <row r="441" spans="3:3">
      <c r="C441" s="79">
        <f t="shared" si="6"/>
        <v>0</v>
      </c>
    </row>
    <row r="442" spans="3:3">
      <c r="C442" s="79">
        <f t="shared" si="6"/>
        <v>0</v>
      </c>
    </row>
    <row r="443" spans="3:3">
      <c r="C443" s="79">
        <f t="shared" si="6"/>
        <v>0</v>
      </c>
    </row>
    <row r="444" spans="3:3">
      <c r="C444" s="79">
        <f t="shared" si="6"/>
        <v>0</v>
      </c>
    </row>
    <row r="445" spans="3:3">
      <c r="C445" s="79">
        <f t="shared" si="6"/>
        <v>0</v>
      </c>
    </row>
    <row r="446" spans="3:3">
      <c r="C446" s="79">
        <f t="shared" si="6"/>
        <v>0</v>
      </c>
    </row>
    <row r="447" spans="3:3">
      <c r="C447" s="79">
        <f t="shared" si="6"/>
        <v>0</v>
      </c>
    </row>
    <row r="448" spans="3:3">
      <c r="C448" s="79">
        <f t="shared" si="6"/>
        <v>0</v>
      </c>
    </row>
    <row r="449" spans="3:3">
      <c r="C449" s="79">
        <f t="shared" si="6"/>
        <v>0</v>
      </c>
    </row>
    <row r="450" spans="3:3">
      <c r="C450" s="79">
        <f t="shared" si="6"/>
        <v>0</v>
      </c>
    </row>
    <row r="451" spans="3:3">
      <c r="C451" s="79">
        <f t="shared" si="6"/>
        <v>0</v>
      </c>
    </row>
    <row r="452" spans="3:3">
      <c r="C452" s="79">
        <f t="shared" si="6"/>
        <v>0</v>
      </c>
    </row>
  </sheetData>
  <mergeCells count="12">
    <mergeCell ref="B2:D2"/>
    <mergeCell ref="B69:D69"/>
    <mergeCell ref="B134:D134"/>
    <mergeCell ref="B200:D200"/>
    <mergeCell ref="B266:D266"/>
    <mergeCell ref="B333:D333"/>
    <mergeCell ref="A2:A4"/>
    <mergeCell ref="A69:A71"/>
    <mergeCell ref="A134:A136"/>
    <mergeCell ref="A200:A202"/>
    <mergeCell ref="A266:A268"/>
    <mergeCell ref="A333:A335"/>
  </mergeCells>
  <pageMargins left="0.7" right="0.7" top="0.75" bottom="0.75" header="0.3" footer="0.3"/>
  <pageSetup paperSize="9" orientation="portrait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Лист1">
    <tabColor rgb="FFF3E7FF"/>
  </sheetPr>
  <dimension ref="A1:Z34"/>
  <sheetViews>
    <sheetView zoomScale="85" zoomScaleNormal="85" topLeftCell="A10" workbookViewId="0">
      <selection activeCell="C33" sqref="C33"/>
    </sheetView>
  </sheetViews>
  <sheetFormatPr defaultColWidth="0" defaultRowHeight="14.25" zeroHeight="1"/>
  <cols>
    <col min="1" max="1" width="2.45714285714286" style="327" customWidth="1"/>
    <col min="2" max="2" width="32.1809523809524" style="327" customWidth="1"/>
    <col min="3" max="3" width="42.4571428571429" style="327" customWidth="1"/>
    <col min="4" max="4" width="51.7238095238095" style="327" customWidth="1"/>
    <col min="5" max="5" width="16.4571428571429" style="443" customWidth="1"/>
    <col min="6" max="6" width="51.1809523809524" style="327" customWidth="1"/>
    <col min="7" max="8" width="9.18095238095238" style="327" hidden="1" customWidth="1"/>
    <col min="9" max="27" width="0" style="327" hidden="1" customWidth="1"/>
    <col min="28" max="16384" width="9.18095238095238" style="327" hidden="1"/>
  </cols>
  <sheetData>
    <row r="1" s="441" customFormat="1" ht="30" customHeight="1" spans="1:26">
      <c r="A1" s="330" t="s">
        <v>101</v>
      </c>
      <c r="B1" s="331"/>
      <c r="C1" s="326"/>
      <c r="D1" s="444" t="s">
        <v>102</v>
      </c>
      <c r="E1" s="445"/>
      <c r="F1" s="326"/>
      <c r="G1" s="446"/>
      <c r="H1" s="446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  <c r="T1" s="467"/>
      <c r="U1" s="467"/>
      <c r="V1" s="467"/>
      <c r="W1" s="467"/>
      <c r="X1" s="467"/>
      <c r="Y1" s="467"/>
      <c r="Z1" s="467"/>
    </row>
    <row r="2" s="441" customFormat="1" ht="19.9" customHeight="1" spans="1:8">
      <c r="A2" s="334"/>
      <c r="B2" s="334"/>
      <c r="C2" s="447"/>
      <c r="D2" s="334" t="s">
        <v>103</v>
      </c>
      <c r="E2" s="448"/>
      <c r="F2" s="334"/>
      <c r="G2" s="334"/>
      <c r="H2" s="334"/>
    </row>
    <row r="3" spans="1:8">
      <c r="A3" s="333"/>
      <c r="B3" s="333"/>
      <c r="C3" s="333"/>
      <c r="D3" s="333"/>
      <c r="E3" s="425"/>
      <c r="F3" s="333"/>
      <c r="G3" s="333"/>
      <c r="H3" s="333"/>
    </row>
    <row r="4" s="442" customFormat="1" ht="64.15" customHeight="1" spans="1:8">
      <c r="A4" s="447"/>
      <c r="B4" s="335" t="s">
        <v>104</v>
      </c>
      <c r="C4" s="336" t="s">
        <v>105</v>
      </c>
      <c r="D4" s="335" t="s">
        <v>106</v>
      </c>
      <c r="E4" s="337" t="s">
        <v>107</v>
      </c>
      <c r="F4" s="335" t="s">
        <v>108</v>
      </c>
      <c r="G4" s="447"/>
      <c r="H4" s="447"/>
    </row>
    <row r="5" spans="1:8">
      <c r="A5" s="333"/>
      <c r="B5" s="338" t="s">
        <v>109</v>
      </c>
      <c r="C5" s="362">
        <v>2025</v>
      </c>
      <c r="D5" s="340" t="s">
        <v>110</v>
      </c>
      <c r="E5" s="449"/>
      <c r="F5" s="369"/>
      <c r="G5" s="333">
        <f>IF(C5="",0,1)</f>
        <v>1</v>
      </c>
      <c r="H5" s="333"/>
    </row>
    <row r="6" ht="76.5" spans="1:8">
      <c r="A6" s="333"/>
      <c r="B6" s="338" t="s">
        <v>111</v>
      </c>
      <c r="C6" s="450" t="s">
        <v>74</v>
      </c>
      <c r="D6" s="340" t="s">
        <v>112</v>
      </c>
      <c r="E6" s="341" t="s">
        <v>113</v>
      </c>
      <c r="F6" s="342" t="s">
        <v>114</v>
      </c>
      <c r="G6" s="451">
        <f>IF(C6="Пожалуйста, выберите…",0,1)</f>
        <v>1</v>
      </c>
      <c r="H6" s="451"/>
    </row>
    <row r="7" ht="25.5" spans="1:8">
      <c r="A7" s="333"/>
      <c r="B7" s="338" t="s">
        <v>115</v>
      </c>
      <c r="C7" s="362" t="s">
        <v>116</v>
      </c>
      <c r="D7" s="340" t="s">
        <v>117</v>
      </c>
      <c r="E7" s="341" t="s">
        <v>118</v>
      </c>
      <c r="F7" s="342" t="s">
        <v>114</v>
      </c>
      <c r="G7" s="451">
        <f>IF(C7="Пожалуйста, выберите…",0,1)</f>
        <v>1</v>
      </c>
      <c r="H7" s="451"/>
    </row>
    <row r="8" ht="25.5" spans="1:8">
      <c r="A8" s="333"/>
      <c r="B8" s="338" t="s">
        <v>119</v>
      </c>
      <c r="C8" s="362">
        <v>1917</v>
      </c>
      <c r="D8" s="340" t="s">
        <v>120</v>
      </c>
      <c r="E8" s="341" t="s">
        <v>121</v>
      </c>
      <c r="F8" s="342" t="s">
        <v>114</v>
      </c>
      <c r="G8" s="451">
        <f t="shared" ref="G8:G16" si="0">IF(C8="",0,1)</f>
        <v>1</v>
      </c>
      <c r="H8" s="451"/>
    </row>
    <row r="9" ht="114.75" spans="1:8">
      <c r="A9" s="333"/>
      <c r="B9" s="338" t="s">
        <v>122</v>
      </c>
      <c r="C9" s="362" t="s">
        <v>90</v>
      </c>
      <c r="D9" s="340" t="s">
        <v>123</v>
      </c>
      <c r="E9" s="341"/>
      <c r="F9" s="342" t="s">
        <v>124</v>
      </c>
      <c r="G9" s="451">
        <f t="shared" si="0"/>
        <v>1</v>
      </c>
      <c r="H9" s="451"/>
    </row>
    <row r="10" ht="25.5" spans="1:8">
      <c r="A10" s="333"/>
      <c r="B10" s="338" t="s">
        <v>125</v>
      </c>
      <c r="C10" s="362">
        <v>1</v>
      </c>
      <c r="D10" s="340" t="s">
        <v>126</v>
      </c>
      <c r="E10" s="341" t="s">
        <v>127</v>
      </c>
      <c r="F10" s="342" t="s">
        <v>114</v>
      </c>
      <c r="G10" s="451">
        <f t="shared" si="0"/>
        <v>1</v>
      </c>
      <c r="H10" s="451"/>
    </row>
    <row r="11" ht="25.5" spans="1:8">
      <c r="A11" s="333"/>
      <c r="B11" s="338" t="s">
        <v>128</v>
      </c>
      <c r="C11" s="362">
        <v>836</v>
      </c>
      <c r="D11" s="340" t="s">
        <v>129</v>
      </c>
      <c r="E11" s="341" t="s">
        <v>130</v>
      </c>
      <c r="F11" s="342" t="s">
        <v>114</v>
      </c>
      <c r="G11" s="451">
        <f t="shared" si="0"/>
        <v>1</v>
      </c>
      <c r="H11" s="451"/>
    </row>
    <row r="12" ht="38.25" spans="1:8">
      <c r="A12" s="333"/>
      <c r="B12" s="338" t="s">
        <v>131</v>
      </c>
      <c r="C12" s="362">
        <v>686.5</v>
      </c>
      <c r="D12" s="340" t="s">
        <v>132</v>
      </c>
      <c r="E12" s="341" t="s">
        <v>133</v>
      </c>
      <c r="F12" s="342"/>
      <c r="G12" s="451"/>
      <c r="H12" s="451"/>
    </row>
    <row r="13" ht="63.75" spans="1:8">
      <c r="A13" s="333"/>
      <c r="B13" s="338" t="s">
        <v>134</v>
      </c>
      <c r="C13" s="362">
        <v>0</v>
      </c>
      <c r="D13" s="340" t="s">
        <v>135</v>
      </c>
      <c r="E13" s="341" t="s">
        <v>133</v>
      </c>
      <c r="F13" s="342"/>
      <c r="G13" s="451"/>
      <c r="H13" s="451"/>
    </row>
    <row r="14" ht="38.25" spans="1:8">
      <c r="A14" s="333"/>
      <c r="B14" s="338" t="s">
        <v>136</v>
      </c>
      <c r="C14" s="362">
        <v>0</v>
      </c>
      <c r="D14" s="340" t="s">
        <v>137</v>
      </c>
      <c r="E14" s="341" t="s">
        <v>133</v>
      </c>
      <c r="F14" s="342"/>
      <c r="G14" s="451"/>
      <c r="H14" s="451"/>
    </row>
    <row r="15" ht="25.5" spans="1:8">
      <c r="A15" s="333"/>
      <c r="B15" s="338" t="s">
        <v>138</v>
      </c>
      <c r="C15" s="452">
        <f>C12+C13*C14/365</f>
        <v>686.5</v>
      </c>
      <c r="D15" s="340" t="s">
        <v>139</v>
      </c>
      <c r="E15" s="341" t="s">
        <v>133</v>
      </c>
      <c r="F15" s="342"/>
      <c r="G15" s="451">
        <f t="shared" si="0"/>
        <v>1</v>
      </c>
      <c r="H15" s="451"/>
    </row>
    <row r="16" ht="38.25" spans="1:8">
      <c r="A16" s="333"/>
      <c r="B16" s="338" t="s">
        <v>140</v>
      </c>
      <c r="C16" s="362">
        <v>65</v>
      </c>
      <c r="D16" s="340" t="s">
        <v>141</v>
      </c>
      <c r="E16" s="341" t="s">
        <v>142</v>
      </c>
      <c r="F16" s="342" t="s">
        <v>114</v>
      </c>
      <c r="G16" s="451">
        <f t="shared" si="0"/>
        <v>1</v>
      </c>
      <c r="H16" s="451"/>
    </row>
    <row r="17" ht="25.5" spans="1:8">
      <c r="A17" s="333"/>
      <c r="B17" s="338" t="s">
        <v>143</v>
      </c>
      <c r="C17" s="453">
        <f>IFERROR(VLOOKUP(C6,'Экспресс потенциал'!B6:O27,14,0),"")</f>
        <v>20</v>
      </c>
      <c r="D17" s="340" t="s">
        <v>144</v>
      </c>
      <c r="E17" s="341" t="s">
        <v>133</v>
      </c>
      <c r="F17" s="454" t="s">
        <v>124</v>
      </c>
      <c r="G17" s="454"/>
      <c r="H17" s="454"/>
    </row>
    <row r="18" ht="63.75" spans="1:8">
      <c r="A18" s="333"/>
      <c r="B18" s="338" t="s">
        <v>145</v>
      </c>
      <c r="C18" s="339" t="s">
        <v>146</v>
      </c>
      <c r="D18" s="340" t="s">
        <v>147</v>
      </c>
      <c r="E18" s="341" t="s">
        <v>133</v>
      </c>
      <c r="F18" s="454" t="s">
        <v>124</v>
      </c>
      <c r="G18" s="454"/>
      <c r="H18" s="454"/>
    </row>
    <row r="19" ht="0.75" customHeight="1" spans="1:8">
      <c r="A19" s="333"/>
      <c r="B19" s="338" t="s">
        <v>148</v>
      </c>
      <c r="C19" s="455">
        <f>IFERROR(VLOOKUP(C5,списки!A576:B582,2,0),"")</f>
        <v>1851</v>
      </c>
      <c r="D19" s="340" t="s">
        <v>149</v>
      </c>
      <c r="E19" s="341"/>
      <c r="F19" s="456"/>
      <c r="G19" s="451"/>
      <c r="H19" s="451"/>
    </row>
    <row r="20" s="329" customFormat="1" ht="17.25" customHeight="1" spans="2:10">
      <c r="B20" s="409" t="s">
        <v>150</v>
      </c>
      <c r="C20" s="339" t="s">
        <v>133</v>
      </c>
      <c r="D20" s="340" t="s">
        <v>147</v>
      </c>
      <c r="E20" s="341" t="s">
        <v>133</v>
      </c>
      <c r="F20" s="454" t="s">
        <v>124</v>
      </c>
      <c r="G20" s="454"/>
      <c r="H20" s="454"/>
      <c r="I20" s="333"/>
      <c r="J20" s="333"/>
    </row>
    <row r="21" s="329" customFormat="1" ht="25.5" spans="2:10">
      <c r="B21" s="409" t="s">
        <v>151</v>
      </c>
      <c r="C21" s="457">
        <v>0</v>
      </c>
      <c r="D21" s="458" t="s">
        <v>152</v>
      </c>
      <c r="E21" s="341" t="s">
        <v>133</v>
      </c>
      <c r="F21" s="454" t="s">
        <v>124</v>
      </c>
      <c r="G21" s="454"/>
      <c r="H21" s="454"/>
      <c r="I21" s="333"/>
      <c r="J21" s="333"/>
    </row>
    <row r="22" s="329" customFormat="1" ht="46.9" customHeight="1" spans="2:10">
      <c r="B22" s="409" t="s">
        <v>153</v>
      </c>
      <c r="C22" s="459">
        <v>0</v>
      </c>
      <c r="D22" s="363" t="s">
        <v>154</v>
      </c>
      <c r="E22" s="341" t="s">
        <v>133</v>
      </c>
      <c r="F22" s="454" t="s">
        <v>124</v>
      </c>
      <c r="G22" s="454"/>
      <c r="H22" s="454"/>
      <c r="I22" s="333"/>
      <c r="J22" s="333"/>
    </row>
    <row r="23" spans="1:8">
      <c r="A23" s="333"/>
      <c r="B23" s="333"/>
      <c r="C23" s="333"/>
      <c r="D23" s="460" t="s">
        <v>155</v>
      </c>
      <c r="E23" s="425"/>
      <c r="F23" s="333"/>
      <c r="G23" s="333"/>
      <c r="H23" s="333"/>
    </row>
    <row r="24" ht="15" spans="1:8">
      <c r="A24" s="333"/>
      <c r="B24" s="333"/>
      <c r="C24" s="461" t="s">
        <v>156</v>
      </c>
      <c r="D24" s="462"/>
      <c r="E24" s="425"/>
      <c r="F24" s="333"/>
      <c r="G24" s="333"/>
      <c r="H24" s="333"/>
    </row>
    <row r="25" spans="1:8">
      <c r="A25" s="333"/>
      <c r="B25" s="333"/>
      <c r="C25" s="463" t="s">
        <v>157</v>
      </c>
      <c r="D25" s="464"/>
      <c r="E25" s="425"/>
      <c r="F25" s="333"/>
      <c r="G25" s="333"/>
      <c r="H25" s="333"/>
    </row>
    <row r="26" spans="1:8">
      <c r="A26" s="333"/>
      <c r="B26" s="333"/>
      <c r="C26" s="463" t="s">
        <v>158</v>
      </c>
      <c r="D26" s="464"/>
      <c r="E26" s="425"/>
      <c r="F26" s="333"/>
      <c r="G26" s="333"/>
      <c r="H26" s="333"/>
    </row>
    <row r="27" spans="1:8">
      <c r="A27" s="333"/>
      <c r="B27" s="333"/>
      <c r="C27" s="463" t="s">
        <v>159</v>
      </c>
      <c r="D27" s="464"/>
      <c r="E27" s="425"/>
      <c r="F27" s="333"/>
      <c r="G27" s="333"/>
      <c r="H27" s="333"/>
    </row>
    <row r="28" spans="1:8">
      <c r="A28" s="333"/>
      <c r="B28" s="333"/>
      <c r="C28" s="463" t="s">
        <v>160</v>
      </c>
      <c r="D28" s="464"/>
      <c r="E28" s="425"/>
      <c r="F28" s="333"/>
      <c r="G28" s="333"/>
      <c r="H28" s="333"/>
    </row>
    <row r="29" spans="1:8">
      <c r="A29" s="333"/>
      <c r="B29" s="333"/>
      <c r="C29" s="463" t="s">
        <v>161</v>
      </c>
      <c r="D29" s="464"/>
      <c r="E29" s="425"/>
      <c r="F29" s="333"/>
      <c r="G29" s="333"/>
      <c r="H29" s="333"/>
    </row>
    <row r="30" spans="1:8">
      <c r="A30" s="333"/>
      <c r="B30" s="333"/>
      <c r="C30" s="463" t="s">
        <v>162</v>
      </c>
      <c r="D30" s="464"/>
      <c r="E30" s="425"/>
      <c r="F30" s="333"/>
      <c r="G30" s="333"/>
      <c r="H30" s="333"/>
    </row>
    <row r="31" spans="1:8">
      <c r="A31" s="333"/>
      <c r="B31" s="333"/>
      <c r="C31" s="465" t="s">
        <v>163</v>
      </c>
      <c r="D31" s="466"/>
      <c r="E31" s="425"/>
      <c r="F31" s="333"/>
      <c r="G31" s="333"/>
      <c r="H31" s="333"/>
    </row>
    <row r="32" spans="1:8">
      <c r="A32" s="333"/>
      <c r="B32" s="333"/>
      <c r="C32" s="333"/>
      <c r="D32" s="333"/>
      <c r="E32" s="425"/>
      <c r="F32" s="333"/>
      <c r="G32" s="333"/>
      <c r="H32" s="333"/>
    </row>
    <row r="33" spans="1:8">
      <c r="A33" s="333"/>
      <c r="B33" s="350" t="s">
        <v>164</v>
      </c>
      <c r="C33" s="351" t="str">
        <f>IF(PRODUCT(G5:G19)=1,"Готово","Заполните данные")</f>
        <v>Готово</v>
      </c>
      <c r="D33" s="333"/>
      <c r="E33" s="425"/>
      <c r="F33" s="333"/>
      <c r="G33" s="333"/>
      <c r="H33" s="333"/>
    </row>
    <row r="34" spans="1:8">
      <c r="A34" s="333"/>
      <c r="B34" s="333"/>
      <c r="C34" s="333"/>
      <c r="D34" s="333"/>
      <c r="E34" s="425"/>
      <c r="F34" s="333"/>
      <c r="G34" s="333"/>
      <c r="H34" s="333"/>
    </row>
  </sheetData>
  <sheetProtection algorithmName="SHA-512" hashValue="uWLW/sGAuZ6Lzb9lVPM5Ac7VXrRuts26iTfe4LpEylIVl4gv82VKa/vvwLLIIKVVDFoRpUCcTe7gtltfCyGHEA==" saltValue="gJTjkd7B8wriIplbYCCROg==" spinCount="100000" sheet="1" objects="1" scenarios="1"/>
  <mergeCells count="5">
    <mergeCell ref="F17:H17"/>
    <mergeCell ref="F18:H18"/>
    <mergeCell ref="F20:H20"/>
    <mergeCell ref="F21:H21"/>
    <mergeCell ref="F22:H22"/>
  </mergeCells>
  <conditionalFormatting sqref="C5">
    <cfRule type="containsBlanks" dxfId="2" priority="1">
      <formula>LEN(TRIM(C5))=0</formula>
    </cfRule>
  </conditionalFormatting>
  <conditionalFormatting sqref="C6">
    <cfRule type="cellIs" dxfId="3" priority="11" operator="equal">
      <formula>"Пожалуйста, выберите…"</formula>
    </cfRule>
  </conditionalFormatting>
  <conditionalFormatting sqref="C20">
    <cfRule type="cellIs" dxfId="3" priority="8" operator="equal">
      <formula>"Пожалуйста, выберите…"</formula>
    </cfRule>
  </conditionalFormatting>
  <conditionalFormatting sqref="C33">
    <cfRule type="containsText" dxfId="1" priority="9" operator="between" text="Готово">
      <formula>NOT(ISERROR(SEARCH("Готово",C33)))</formula>
    </cfRule>
    <cfRule type="containsText" dxfId="4" priority="10" operator="between" text="Заполните данные">
      <formula>NOT(ISERROR(SEARCH("Заполните данные",C33)))</formula>
    </cfRule>
  </conditionalFormatting>
  <conditionalFormatting sqref="C6:C9">
    <cfRule type="containsBlanks" dxfId="2" priority="37">
      <formula>LEN(TRIM(C6))=0</formula>
    </cfRule>
  </conditionalFormatting>
  <conditionalFormatting sqref="C11:C14">
    <cfRule type="containsBlanks" dxfId="5" priority="2">
      <formula>LEN(TRIM(C11))=0</formula>
    </cfRule>
  </conditionalFormatting>
  <conditionalFormatting sqref="C21:C22">
    <cfRule type="expression" dxfId="6" priority="3">
      <formula>$C$20="нет"</formula>
    </cfRule>
    <cfRule type="expression" dxfId="6" priority="4">
      <formula>$C$20="Пожалуйста, выберите…"</formula>
    </cfRule>
  </conditionalFormatting>
  <conditionalFormatting sqref="C18;C6:C7">
    <cfRule type="cellIs" dxfId="3" priority="12" operator="equal">
      <formula>"Пожалуйста, выберите…"</formula>
    </cfRule>
  </conditionalFormatting>
  <conditionalFormatting sqref="C9:C10;C16">
    <cfRule type="containsBlanks" dxfId="5" priority="13">
      <formula>LEN(TRIM(C9))=0</formula>
    </cfRule>
  </conditionalFormatting>
  <dataValidations count="15">
    <dataValidation type="whole" operator="between" allowBlank="1" showInputMessage="1" showErrorMessage="1" error="Могут быть введены 2019-2025 гг." sqref="C5">
      <formula1>2019</formula1>
      <formula2>2025</formula2>
    </dataValidation>
    <dataValidation type="list" allowBlank="1" showInputMessage="1" showErrorMessage="1" sqref="C6">
      <formula1>TipyExpress</formula1>
    </dataValidation>
    <dataValidation type="list" allowBlank="1" showInputMessage="1" showErrorMessage="1" sqref="C7">
      <formula1>СпискиРегионы</formula1>
    </dataValidation>
    <dataValidation type="whole" operator="between" allowBlank="1" showInputMessage="1" showErrorMessage="1" sqref="C8">
      <formula1>1700</formula1>
      <formula2>2020</formula2>
    </dataValidation>
    <dataValidation type="list" allowBlank="1" showInputMessage="1" showErrorMessage="1" sqref="C9">
      <formula1>Smeny</formula1>
    </dataValidation>
    <dataValidation type="whole" operator="between" allowBlank="1" showInputMessage="1" showErrorMessage="1" sqref="C10">
      <formula1>1</formula1>
      <formula2>100</formula2>
    </dataValidation>
    <dataValidation type="decimal" operator="between" allowBlank="1" showInputMessage="1" showErrorMessage="1" error="Методические Рекомендации не распространяются на учреждения общей площадью менее 100м2" sqref="C11">
      <formula1>10</formula1>
      <formula2>100000000</formula2>
    </dataValidation>
    <dataValidation type="decimal" operator="between" allowBlank="1" showInputMessage="1" showErrorMessage="1" sqref="C12">
      <formula1>0</formula1>
      <formula2>100000000</formula2>
    </dataValidation>
    <dataValidation type="decimal" operator="between" allowBlank="1" showInputMessage="1" showErrorMessage="1" error="Выбытие площади не может быть больше исходной площади" sqref="C13">
      <formula1>-C12+1</formula1>
      <formula2>100000000</formula2>
    </dataValidation>
    <dataValidation type="decimal" operator="between" allowBlank="1" showInputMessage="1" showErrorMessage="1" error="Число дней может быть от 0 до 365" sqref="C14">
      <formula1>0</formula1>
      <formula2>365</formula2>
    </dataValidation>
    <dataValidation type="decimal" operator="between" allowBlank="1" showInputMessage="1" showErrorMessage="1" sqref="C16">
      <formula1>0</formula1>
      <formula2>1000000</formula2>
    </dataValidation>
    <dataValidation type="list" allowBlank="1" showInputMessage="1" showErrorMessage="1" sqref="C18">
      <formula1>danet</formula1>
    </dataValidation>
    <dataValidation type="list" showInputMessage="1" showErrorMessage="1" error="Пожалуйста, выберите значение" sqref="C20" errorStyle="warning">
      <formula1>danet</formula1>
    </dataValidation>
    <dataValidation type="whole" operator="between" allowBlank="1" showInputMessage="1" showErrorMessage="1" sqref="C21">
      <formula1>0</formula1>
      <formula2>365</formula2>
    </dataValidation>
    <dataValidation type="decimal" operator="between" allowBlank="1" showInputMessage="1" showErrorMessage="1" sqref="C22">
      <formula1>0</formula1>
      <formula2>1</formula2>
    </dataValidation>
  </dataValidations>
  <hyperlinks>
    <hyperlink ref="C25" location="'2.УР ТЭ на нужды ОиВ'!A1" display="Определение УР теплоэнергии на нужды отопления и вентиляции"/>
    <hyperlink ref="C26" location="'5.УР ЭЭ'!A1" display="Определение УР электроэнергии"/>
    <hyperlink ref="C27" location="'3.УР горячей воды'!A1" display="Определение УР горячей воды"/>
    <hyperlink ref="C28" location="'4.УР холодной воды'!A1" display="Определение УР холодной воды"/>
    <hyperlink ref="C29" location="'6.УР природного газа на цели ПП'!A1" display="Определение УР природного газа"/>
    <hyperlink ref="C30" location="'7.УР топлива на отопл. и вент.'!A1" display="Определение УР твердого топлива"/>
    <hyperlink ref="C31" location="'8.УР моторного топлива'!A1" display="Определение УР моторного топлива"/>
    <hyperlink ref="D1" location="'0.Результаты расчета'!A1" display="Перейти к результатам расчета потенциала и ЦУС"/>
  </hyperlinks>
  <pageMargins left="0.7" right="0.7" top="0.75" bottom="0.75" header="0.3" footer="0.3"/>
  <pageSetup paperSize="9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Лист21">
    <tabColor rgb="FF92D050"/>
  </sheetPr>
  <dimension ref="A1:G452"/>
  <sheetViews>
    <sheetView topLeftCell="A235" workbookViewId="0">
      <selection activeCell="E166" sqref="E166"/>
    </sheetView>
  </sheetViews>
  <sheetFormatPr defaultColWidth="8.72380952380952" defaultRowHeight="15" outlineLevelCol="6"/>
  <cols>
    <col min="1" max="1" width="19.7238095238095" customWidth="1"/>
    <col min="2" max="2" width="17.2666666666667" customWidth="1"/>
    <col min="3" max="3" width="9.18095238095238"/>
    <col min="4" max="4" width="16.2666666666667" customWidth="1"/>
    <col min="5" max="5" width="15" customWidth="1"/>
    <col min="6" max="6" width="16.4571428571429" style="64" customWidth="1"/>
    <col min="7" max="7" width="17.1809523809524" style="64" customWidth="1"/>
  </cols>
  <sheetData>
    <row r="1" ht="15.75" spans="4:5">
      <c r="D1" s="65">
        <v>0.1</v>
      </c>
      <c r="E1" s="65">
        <v>0.4</v>
      </c>
    </row>
    <row r="2" ht="23.25" customHeight="1" spans="1:7">
      <c r="A2" s="66" t="s">
        <v>165</v>
      </c>
      <c r="B2" s="67" t="s">
        <v>166</v>
      </c>
      <c r="C2" s="68"/>
      <c r="D2" s="69"/>
      <c r="E2" s="70">
        <f>(1-E57)^(1/3)-1</f>
        <v>-0.0302599609980148</v>
      </c>
      <c r="F2" s="70">
        <f>(1-F57)^(1/3)-1</f>
        <v>-0.0342157837761813</v>
      </c>
      <c r="G2" s="70"/>
    </row>
    <row r="3" ht="47.25" customHeight="1" spans="1:7">
      <c r="A3" s="71"/>
      <c r="B3" s="72" t="s">
        <v>167</v>
      </c>
      <c r="C3" s="72"/>
      <c r="D3" s="72" t="s">
        <v>168</v>
      </c>
      <c r="E3" s="72" t="s">
        <v>169</v>
      </c>
      <c r="F3" s="73" t="s">
        <v>169</v>
      </c>
      <c r="G3" s="73"/>
    </row>
    <row r="4" ht="16.15" customHeight="1" spans="1:7">
      <c r="A4" s="74"/>
      <c r="B4" s="72" t="s">
        <v>170</v>
      </c>
      <c r="C4" s="72"/>
      <c r="D4" s="72" t="s">
        <v>171</v>
      </c>
      <c r="E4" s="72" t="s">
        <v>171</v>
      </c>
      <c r="F4" s="73" t="s">
        <v>171</v>
      </c>
      <c r="G4" s="73"/>
    </row>
    <row r="5" spans="1:7">
      <c r="A5" s="75">
        <v>1</v>
      </c>
      <c r="B5" s="76">
        <v>2</v>
      </c>
      <c r="C5" s="76"/>
      <c r="D5" s="76">
        <v>3</v>
      </c>
      <c r="E5" s="76">
        <v>4</v>
      </c>
      <c r="F5" s="77">
        <v>5</v>
      </c>
      <c r="G5" s="77"/>
    </row>
    <row r="6" spans="1:7">
      <c r="A6" s="530" t="s">
        <v>172</v>
      </c>
      <c r="B6" s="79">
        <v>5.55</v>
      </c>
      <c r="C6" s="79">
        <v>0</v>
      </c>
      <c r="D6" s="80">
        <v>0</v>
      </c>
      <c r="E6" s="80">
        <v>0</v>
      </c>
      <c r="F6" s="81">
        <v>0</v>
      </c>
      <c r="G6" s="81">
        <v>0</v>
      </c>
    </row>
    <row r="7" spans="1:7">
      <c r="A7" s="530" t="s">
        <v>173</v>
      </c>
      <c r="B7" s="79">
        <v>6.55</v>
      </c>
      <c r="C7" s="79">
        <f>B6</f>
        <v>5.55</v>
      </c>
      <c r="D7" s="80">
        <v>0</v>
      </c>
      <c r="E7" s="80">
        <v>0</v>
      </c>
      <c r="F7" s="81">
        <v>0</v>
      </c>
      <c r="G7" s="81">
        <v>0.00839694656488549</v>
      </c>
    </row>
    <row r="8" spans="1:7">
      <c r="A8" s="530" t="s">
        <v>174</v>
      </c>
      <c r="B8" s="79">
        <v>7.46</v>
      </c>
      <c r="C8" s="79">
        <f t="shared" ref="C8:C56" si="0">B7</f>
        <v>6.55</v>
      </c>
      <c r="D8" s="80">
        <v>0</v>
      </c>
      <c r="E8" s="80">
        <v>0</v>
      </c>
      <c r="F8" s="81">
        <v>0</v>
      </c>
      <c r="G8" s="81">
        <v>0.0195710455764075</v>
      </c>
    </row>
    <row r="9" spans="1:7">
      <c r="A9" s="530" t="s">
        <v>175</v>
      </c>
      <c r="B9" s="79">
        <v>8.3</v>
      </c>
      <c r="C9" s="79">
        <f t="shared" si="0"/>
        <v>7.46</v>
      </c>
      <c r="D9" s="80">
        <v>0</v>
      </c>
      <c r="E9" s="80">
        <v>0</v>
      </c>
      <c r="F9" s="81">
        <v>0</v>
      </c>
      <c r="G9" s="81">
        <v>0.027710843373494</v>
      </c>
    </row>
    <row r="10" spans="1:7">
      <c r="A10" s="530" t="s">
        <v>176</v>
      </c>
      <c r="B10" s="79">
        <v>9.98</v>
      </c>
      <c r="C10" s="79">
        <f t="shared" si="0"/>
        <v>8.3</v>
      </c>
      <c r="D10" s="80">
        <v>0</v>
      </c>
      <c r="E10" s="80">
        <v>0</v>
      </c>
      <c r="F10" s="81">
        <v>0</v>
      </c>
      <c r="G10" s="81">
        <v>0.0398797595190381</v>
      </c>
    </row>
    <row r="11" spans="1:7">
      <c r="A11" s="530" t="s">
        <v>177</v>
      </c>
      <c r="B11" s="79">
        <v>10.66</v>
      </c>
      <c r="C11" s="79">
        <f t="shared" si="0"/>
        <v>9.98</v>
      </c>
      <c r="D11" s="80">
        <v>0</v>
      </c>
      <c r="E11" s="80">
        <v>0</v>
      </c>
      <c r="F11" s="81">
        <v>0</v>
      </c>
      <c r="G11" s="81">
        <v>0.0622889305816135</v>
      </c>
    </row>
    <row r="12" spans="1:7">
      <c r="A12" s="530" t="s">
        <v>178</v>
      </c>
      <c r="B12" s="79">
        <v>11.34</v>
      </c>
      <c r="C12" s="79">
        <f t="shared" si="0"/>
        <v>10.66</v>
      </c>
      <c r="D12" s="80">
        <v>0</v>
      </c>
      <c r="E12" s="80">
        <v>0</v>
      </c>
      <c r="F12" s="81">
        <v>0</v>
      </c>
      <c r="G12" s="81">
        <v>0.0825396825396825</v>
      </c>
    </row>
    <row r="13" spans="1:7">
      <c r="A13" s="78" t="s">
        <v>179</v>
      </c>
      <c r="B13" s="79">
        <v>12.47</v>
      </c>
      <c r="C13" s="79">
        <f t="shared" si="0"/>
        <v>11.34</v>
      </c>
      <c r="D13" s="80">
        <v>0</v>
      </c>
      <c r="E13" s="80">
        <v>0</v>
      </c>
      <c r="F13" s="81">
        <v>0</v>
      </c>
      <c r="G13" s="81">
        <v>0.11130713712911</v>
      </c>
    </row>
    <row r="14" spans="1:7">
      <c r="A14" s="78" t="s">
        <v>180</v>
      </c>
      <c r="B14" s="79">
        <v>13.19</v>
      </c>
      <c r="C14" s="79">
        <f t="shared" si="0"/>
        <v>12.47</v>
      </c>
      <c r="D14" s="80">
        <v>0</v>
      </c>
      <c r="E14" s="80">
        <v>0</v>
      </c>
      <c r="F14" s="81">
        <v>0</v>
      </c>
      <c r="G14" s="81">
        <v>0.127065959059894</v>
      </c>
    </row>
    <row r="15" spans="1:7">
      <c r="A15" s="78" t="s">
        <v>181</v>
      </c>
      <c r="B15" s="79">
        <v>13.87</v>
      </c>
      <c r="C15" s="79">
        <f t="shared" si="0"/>
        <v>13.19</v>
      </c>
      <c r="D15" s="80">
        <v>0</v>
      </c>
      <c r="E15" s="80">
        <v>0</v>
      </c>
      <c r="F15" s="81">
        <v>0</v>
      </c>
      <c r="G15" s="81">
        <v>0.140447007930786</v>
      </c>
    </row>
    <row r="16" spans="1:7">
      <c r="A16" s="78" t="s">
        <v>182</v>
      </c>
      <c r="B16" s="79">
        <v>15.12</v>
      </c>
      <c r="C16" s="79">
        <f t="shared" si="0"/>
        <v>13.87</v>
      </c>
      <c r="D16" s="80">
        <v>0</v>
      </c>
      <c r="E16" s="80">
        <v>0</v>
      </c>
      <c r="F16" s="81">
        <v>0</v>
      </c>
      <c r="G16" s="81">
        <v>0.161904761904762</v>
      </c>
    </row>
    <row r="17" spans="1:7">
      <c r="A17" s="78" t="s">
        <v>183</v>
      </c>
      <c r="B17" s="79">
        <v>15.6</v>
      </c>
      <c r="C17" s="79">
        <f t="shared" si="0"/>
        <v>15.12</v>
      </c>
      <c r="D17" s="80">
        <v>0</v>
      </c>
      <c r="E17" s="80">
        <v>0</v>
      </c>
      <c r="F17" s="81">
        <v>0</v>
      </c>
      <c r="G17" s="81">
        <v>0.169230769230769</v>
      </c>
    </row>
    <row r="18" spans="1:7">
      <c r="A18" s="78" t="s">
        <v>184</v>
      </c>
      <c r="B18" s="79">
        <v>16.4</v>
      </c>
      <c r="C18" s="79">
        <f t="shared" si="0"/>
        <v>15.6</v>
      </c>
      <c r="D18" s="80">
        <v>0</v>
      </c>
      <c r="E18" s="80">
        <v>0</v>
      </c>
      <c r="F18" s="81">
        <v>0</v>
      </c>
      <c r="G18" s="81">
        <v>0.180487804878049</v>
      </c>
    </row>
    <row r="19" spans="1:7">
      <c r="A19" s="78" t="s">
        <v>185</v>
      </c>
      <c r="B19" s="79">
        <v>17.13</v>
      </c>
      <c r="C19" s="79">
        <f t="shared" si="0"/>
        <v>16.4</v>
      </c>
      <c r="D19" s="80">
        <v>0</v>
      </c>
      <c r="E19" s="80">
        <v>0</v>
      </c>
      <c r="F19" s="81">
        <v>0</v>
      </c>
      <c r="G19" s="81">
        <v>0.18984238178634</v>
      </c>
    </row>
    <row r="20" spans="1:7">
      <c r="A20" s="78" t="s">
        <v>186</v>
      </c>
      <c r="B20" s="79">
        <v>17.66</v>
      </c>
      <c r="C20" s="79">
        <f t="shared" si="0"/>
        <v>17.13</v>
      </c>
      <c r="D20" s="80">
        <v>0</v>
      </c>
      <c r="E20" s="80">
        <v>0</v>
      </c>
      <c r="F20" s="81">
        <v>0</v>
      </c>
      <c r="G20" s="81">
        <v>0.196149490373726</v>
      </c>
    </row>
    <row r="21" spans="1:7">
      <c r="A21" s="78" t="s">
        <v>187</v>
      </c>
      <c r="B21" s="79">
        <v>18.66</v>
      </c>
      <c r="C21" s="79">
        <f t="shared" si="0"/>
        <v>17.66</v>
      </c>
      <c r="D21" s="80">
        <v>0</v>
      </c>
      <c r="E21" s="80">
        <v>0</v>
      </c>
      <c r="F21" s="81">
        <v>0</v>
      </c>
      <c r="G21" s="81">
        <v>0.207073954983923</v>
      </c>
    </row>
    <row r="22" spans="1:7">
      <c r="A22" s="78" t="s">
        <v>188</v>
      </c>
      <c r="B22" s="79">
        <v>19.37</v>
      </c>
      <c r="C22" s="79">
        <f t="shared" si="0"/>
        <v>18.66</v>
      </c>
      <c r="D22" s="80">
        <v>0</v>
      </c>
      <c r="E22" s="80">
        <v>0</v>
      </c>
      <c r="F22" s="81">
        <v>0</v>
      </c>
      <c r="G22" s="81">
        <v>0.214145585957667</v>
      </c>
    </row>
    <row r="23" spans="1:7">
      <c r="A23" s="78" t="s">
        <v>189</v>
      </c>
      <c r="B23" s="79">
        <v>20.42</v>
      </c>
      <c r="C23" s="79">
        <f t="shared" si="0"/>
        <v>19.37</v>
      </c>
      <c r="D23" s="80">
        <v>0</v>
      </c>
      <c r="E23" s="80">
        <v>0</v>
      </c>
      <c r="F23" s="81">
        <v>0</v>
      </c>
      <c r="G23" s="81">
        <v>0.223702252693438</v>
      </c>
    </row>
    <row r="24" spans="1:7">
      <c r="A24" s="78" t="s">
        <v>190</v>
      </c>
      <c r="B24" s="79">
        <v>21.75</v>
      </c>
      <c r="C24" s="79">
        <f t="shared" si="0"/>
        <v>20.42</v>
      </c>
      <c r="D24" s="80">
        <v>0</v>
      </c>
      <c r="E24" s="80">
        <v>0</v>
      </c>
      <c r="F24" s="81">
        <v>0</v>
      </c>
      <c r="G24" s="81">
        <v>0.23448275862069</v>
      </c>
    </row>
    <row r="25" spans="1:7">
      <c r="A25" s="78" t="s">
        <v>191</v>
      </c>
      <c r="B25" s="79">
        <v>22.35</v>
      </c>
      <c r="C25" s="79">
        <f t="shared" si="0"/>
        <v>21.75</v>
      </c>
      <c r="D25" s="80">
        <v>0</v>
      </c>
      <c r="E25" s="80">
        <v>0</v>
      </c>
      <c r="F25" s="81">
        <v>0</v>
      </c>
      <c r="G25" s="81">
        <v>0.238926174496644</v>
      </c>
    </row>
    <row r="26" spans="1:7">
      <c r="A26" s="78" t="s">
        <v>192</v>
      </c>
      <c r="B26" s="79">
        <v>22.96</v>
      </c>
      <c r="C26" s="79">
        <f t="shared" si="0"/>
        <v>22.35</v>
      </c>
      <c r="D26" s="80">
        <v>0</v>
      </c>
      <c r="E26" s="80">
        <v>0</v>
      </c>
      <c r="F26" s="81">
        <v>0.00242508710801393</v>
      </c>
      <c r="G26" s="81">
        <v>0.243205574912892</v>
      </c>
    </row>
    <row r="27" spans="1:7">
      <c r="A27" s="78" t="s">
        <v>193</v>
      </c>
      <c r="B27" s="79">
        <v>24.58</v>
      </c>
      <c r="C27" s="79">
        <f t="shared" si="0"/>
        <v>22.96</v>
      </c>
      <c r="D27" s="80">
        <v>0</v>
      </c>
      <c r="E27" s="80">
        <v>0</v>
      </c>
      <c r="F27" s="81">
        <v>0.00885598047192838</v>
      </c>
      <c r="G27" s="81">
        <v>0.253539462978031</v>
      </c>
    </row>
    <row r="28" spans="1:7">
      <c r="A28" s="78" t="s">
        <v>194</v>
      </c>
      <c r="B28" s="79">
        <v>26.62</v>
      </c>
      <c r="C28" s="79">
        <f t="shared" si="0"/>
        <v>24.58</v>
      </c>
      <c r="D28" s="80">
        <v>0.0581386175807665</v>
      </c>
      <c r="E28" s="80"/>
      <c r="F28" s="81">
        <v>0.0158407212622089</v>
      </c>
      <c r="G28" s="81">
        <v>0.264763335837716</v>
      </c>
    </row>
    <row r="29" spans="1:7">
      <c r="A29" s="78" t="s">
        <v>195</v>
      </c>
      <c r="B29" s="79">
        <v>28.75</v>
      </c>
      <c r="C29" s="79">
        <f t="shared" si="0"/>
        <v>26.62</v>
      </c>
      <c r="D29" s="80">
        <v>0.127918260869565</v>
      </c>
      <c r="E29" s="80"/>
      <c r="F29" s="81">
        <v>0.0220758260869565</v>
      </c>
      <c r="G29" s="81">
        <v>0.274782608695652</v>
      </c>
    </row>
    <row r="30" spans="1:7">
      <c r="A30" s="78" t="s">
        <v>196</v>
      </c>
      <c r="B30" s="79">
        <v>31.96</v>
      </c>
      <c r="C30" s="79">
        <f t="shared" si="0"/>
        <v>28.75</v>
      </c>
      <c r="D30" s="80">
        <v>0.215508448060075</v>
      </c>
      <c r="E30" s="80">
        <v>0.0215508448060075</v>
      </c>
      <c r="F30" s="81">
        <v>0.0299023779724656</v>
      </c>
      <c r="G30" s="81">
        <v>0.287359198998748</v>
      </c>
    </row>
    <row r="31" spans="1:7">
      <c r="A31" s="78" t="s">
        <v>197</v>
      </c>
      <c r="B31" s="79">
        <v>35.6</v>
      </c>
      <c r="C31" s="79">
        <f t="shared" si="0"/>
        <v>31.96</v>
      </c>
      <c r="D31" s="80">
        <v>0.295720505617978</v>
      </c>
      <c r="E31" s="80">
        <v>0.0295720505617978</v>
      </c>
      <c r="F31" s="81">
        <v>0.0370696629213483</v>
      </c>
      <c r="G31" s="81">
        <v>0.298876404494382</v>
      </c>
    </row>
    <row r="32" spans="1:7">
      <c r="A32" s="78" t="s">
        <v>198</v>
      </c>
      <c r="B32" s="79">
        <v>37.11</v>
      </c>
      <c r="C32" s="79">
        <f t="shared" si="0"/>
        <v>35.6</v>
      </c>
      <c r="D32" s="80">
        <v>0.324377526273242</v>
      </c>
      <c r="E32" s="80">
        <v>0.0324377526273242</v>
      </c>
      <c r="F32" s="81">
        <v>0.039630288331986</v>
      </c>
      <c r="G32" s="81">
        <v>0.302991107518189</v>
      </c>
    </row>
    <row r="33" spans="1:7">
      <c r="A33" s="78" t="s">
        <v>199</v>
      </c>
      <c r="B33" s="79">
        <v>38.96</v>
      </c>
      <c r="C33" s="79">
        <f t="shared" si="0"/>
        <v>37.11</v>
      </c>
      <c r="D33" s="80">
        <v>0.356459188911704</v>
      </c>
      <c r="E33" s="80">
        <v>0.0356459188911704</v>
      </c>
      <c r="F33" s="81">
        <v>0.0549815195071869</v>
      </c>
      <c r="G33" s="81">
        <v>0.307597535934292</v>
      </c>
    </row>
    <row r="34" spans="1:7">
      <c r="A34" s="78" t="s">
        <v>200</v>
      </c>
      <c r="B34" s="79">
        <v>42.18</v>
      </c>
      <c r="C34" s="79">
        <f t="shared" si="0"/>
        <v>38.96</v>
      </c>
      <c r="D34" s="80">
        <v>0.405586770981508</v>
      </c>
      <c r="E34" s="80">
        <v>0.0433520625889047</v>
      </c>
      <c r="F34" s="81">
        <v>0.0813200568990042</v>
      </c>
      <c r="G34" s="81">
        <v>0.314651493598862</v>
      </c>
    </row>
    <row r="35" spans="1:7">
      <c r="A35" s="78" t="s">
        <v>201</v>
      </c>
      <c r="B35" s="79">
        <v>43.51</v>
      </c>
      <c r="C35" s="79">
        <f t="shared" si="0"/>
        <v>42.18</v>
      </c>
      <c r="D35" s="80">
        <v>0.423756607676396</v>
      </c>
      <c r="E35" s="80">
        <v>0.0542539646058378</v>
      </c>
      <c r="F35" s="81">
        <v>0.0910613652034015</v>
      </c>
      <c r="G35" s="81">
        <v>0.317260399908067</v>
      </c>
    </row>
    <row r="36" spans="1:7">
      <c r="A36" s="78" t="s">
        <v>202</v>
      </c>
      <c r="B36" s="79">
        <v>45.69</v>
      </c>
      <c r="C36" s="79">
        <f t="shared" si="0"/>
        <v>43.51</v>
      </c>
      <c r="D36" s="80">
        <v>0.451250820748523</v>
      </c>
      <c r="E36" s="80">
        <v>0.0707504924491136</v>
      </c>
      <c r="F36" s="81">
        <v>0.105801707156927</v>
      </c>
      <c r="G36" s="81">
        <v>0.321208141825345</v>
      </c>
    </row>
    <row r="37" spans="1:7">
      <c r="A37" s="78" t="s">
        <v>203</v>
      </c>
      <c r="B37" s="79">
        <v>47.62</v>
      </c>
      <c r="C37" s="79">
        <f t="shared" si="0"/>
        <v>45.69</v>
      </c>
      <c r="D37" s="80">
        <v>0.473491180176397</v>
      </c>
      <c r="E37" s="80">
        <v>0.0840947081058379</v>
      </c>
      <c r="F37" s="81">
        <v>0.11772532549349</v>
      </c>
      <c r="G37" s="81">
        <v>0.324401511969761</v>
      </c>
    </row>
    <row r="38" spans="1:7">
      <c r="A38" s="78" t="s">
        <v>204</v>
      </c>
      <c r="B38" s="79">
        <v>50.79</v>
      </c>
      <c r="C38" s="79">
        <f t="shared" si="0"/>
        <v>47.62</v>
      </c>
      <c r="D38" s="80">
        <v>0.506352628470171</v>
      </c>
      <c r="E38" s="80">
        <v>0.103811577082103</v>
      </c>
      <c r="F38" s="81">
        <v>0.135343177790904</v>
      </c>
      <c r="G38" s="81">
        <v>0.329119905493207</v>
      </c>
    </row>
    <row r="39" spans="1:7">
      <c r="A39" s="78" t="s">
        <v>205</v>
      </c>
      <c r="B39" s="79">
        <v>55.55</v>
      </c>
      <c r="C39" s="79">
        <f t="shared" si="0"/>
        <v>50.79</v>
      </c>
      <c r="D39" s="80">
        <v>0.548652565256526</v>
      </c>
      <c r="E39" s="80">
        <v>0.129191539153915</v>
      </c>
      <c r="F39" s="81">
        <v>0.158021242124212</v>
      </c>
      <c r="G39" s="81">
        <v>0.335193519351935</v>
      </c>
    </row>
    <row r="40" spans="1:7">
      <c r="A40" s="78" t="s">
        <v>206</v>
      </c>
      <c r="B40" s="79">
        <v>58.26</v>
      </c>
      <c r="C40" s="79">
        <f t="shared" si="0"/>
        <v>55.55</v>
      </c>
      <c r="D40" s="80">
        <v>0.569647270854789</v>
      </c>
      <c r="E40" s="80">
        <v>0.141788362512873</v>
      </c>
      <c r="F40" s="81">
        <v>0.169277033985582</v>
      </c>
      <c r="G40" s="81">
        <v>0.338208032955716</v>
      </c>
    </row>
    <row r="41" spans="1:7">
      <c r="A41" s="78" t="s">
        <v>207</v>
      </c>
      <c r="B41" s="79">
        <v>61.27</v>
      </c>
      <c r="C41" s="79">
        <f t="shared" si="0"/>
        <v>58.26</v>
      </c>
      <c r="D41" s="80">
        <v>0.590789130079974</v>
      </c>
      <c r="E41" s="80">
        <v>0.154473478047984</v>
      </c>
      <c r="F41" s="81">
        <v>0.180611718622491</v>
      </c>
      <c r="G41" s="81">
        <v>0.341243675534519</v>
      </c>
    </row>
    <row r="42" spans="1:7">
      <c r="A42" s="78" t="s">
        <v>208</v>
      </c>
      <c r="B42" s="79">
        <v>64.86</v>
      </c>
      <c r="C42" s="79">
        <f t="shared" si="0"/>
        <v>61.27</v>
      </c>
      <c r="D42" s="80">
        <v>0.613438945420907</v>
      </c>
      <c r="E42" s="80">
        <v>0.168063367252544</v>
      </c>
      <c r="F42" s="81">
        <v>0.192754856614246</v>
      </c>
      <c r="G42" s="81">
        <v>0.344495837187789</v>
      </c>
    </row>
    <row r="43" spans="1:7">
      <c r="A43" s="78" t="s">
        <v>209</v>
      </c>
      <c r="B43" s="79">
        <v>67.48</v>
      </c>
      <c r="C43" s="79">
        <f t="shared" si="0"/>
        <v>64.86</v>
      </c>
      <c r="D43" s="80">
        <v>0.628447688203912</v>
      </c>
      <c r="E43" s="80">
        <v>0.177068612922347</v>
      </c>
      <c r="F43" s="81">
        <v>0.200801422643746</v>
      </c>
      <c r="G43" s="81">
        <v>0.34665085951393</v>
      </c>
    </row>
    <row r="44" spans="1:7">
      <c r="A44" s="78" t="s">
        <v>210</v>
      </c>
      <c r="B44" s="79">
        <v>73.56</v>
      </c>
      <c r="C44" s="79">
        <f t="shared" si="0"/>
        <v>67.48</v>
      </c>
      <c r="D44" s="80">
        <v>0.659157830342577</v>
      </c>
      <c r="E44" s="80">
        <v>0.195494698205547</v>
      </c>
      <c r="F44" s="81">
        <v>0.217265905383361</v>
      </c>
      <c r="G44" s="81">
        <v>0.351060358890701</v>
      </c>
    </row>
    <row r="45" spans="1:7">
      <c r="A45" s="78" t="s">
        <v>211</v>
      </c>
      <c r="B45" s="79">
        <v>78.39</v>
      </c>
      <c r="C45" s="79">
        <f t="shared" si="0"/>
        <v>73.56</v>
      </c>
      <c r="D45" s="80">
        <v>0.680158821278224</v>
      </c>
      <c r="E45" s="80">
        <v>0.208095292766935</v>
      </c>
      <c r="F45" s="81">
        <v>0.228525066972828</v>
      </c>
      <c r="G45" s="81">
        <v>0.354075774971297</v>
      </c>
    </row>
    <row r="46" spans="1:7">
      <c r="A46" s="78" t="s">
        <v>212</v>
      </c>
      <c r="B46" s="79">
        <v>83.8</v>
      </c>
      <c r="C46" s="79">
        <f t="shared" si="0"/>
        <v>78.39</v>
      </c>
      <c r="D46" s="80">
        <v>0.700807279236277</v>
      </c>
      <c r="E46" s="80">
        <v>0.220484367541766</v>
      </c>
      <c r="F46" s="81">
        <v>0.23959522673031</v>
      </c>
      <c r="G46" s="81">
        <v>0.357040572792363</v>
      </c>
    </row>
    <row r="47" spans="1:7">
      <c r="A47" s="78" t="s">
        <v>213</v>
      </c>
      <c r="B47" s="79">
        <v>89.4</v>
      </c>
      <c r="C47" s="79">
        <f t="shared" si="0"/>
        <v>83.8</v>
      </c>
      <c r="D47" s="80">
        <v>0.719548657718121</v>
      </c>
      <c r="E47" s="80">
        <v>0.231729194630873</v>
      </c>
      <c r="F47" s="81">
        <v>0.249642953020134</v>
      </c>
      <c r="G47" s="81">
        <v>0.359731543624161</v>
      </c>
    </row>
    <row r="48" spans="1:7">
      <c r="A48" s="78" t="s">
        <v>214</v>
      </c>
      <c r="B48" s="79">
        <v>96.32</v>
      </c>
      <c r="C48" s="79">
        <f t="shared" si="0"/>
        <v>89.4</v>
      </c>
      <c r="D48" s="80">
        <v>0.739697362956811</v>
      </c>
      <c r="E48" s="80">
        <v>0.243818417774086</v>
      </c>
      <c r="F48" s="81">
        <v>0.260445182724252</v>
      </c>
      <c r="G48" s="81">
        <v>0.362624584717608</v>
      </c>
    </row>
    <row r="49" spans="1:7">
      <c r="A49" s="78" t="s">
        <v>215</v>
      </c>
      <c r="B49" s="79">
        <v>106.03</v>
      </c>
      <c r="C49" s="79">
        <f t="shared" si="0"/>
        <v>96.32</v>
      </c>
      <c r="D49" s="80">
        <v>0.763535320192398</v>
      </c>
      <c r="E49" s="80">
        <v>0.258121192115439</v>
      </c>
      <c r="F49" s="81">
        <v>0.273225313590493</v>
      </c>
      <c r="G49" s="81">
        <v>0.366047345091012</v>
      </c>
    </row>
    <row r="50" spans="1:7">
      <c r="A50" s="78" t="s">
        <v>216</v>
      </c>
      <c r="B50" s="79">
        <v>114.25</v>
      </c>
      <c r="C50" s="79">
        <f t="shared" si="0"/>
        <v>106.03</v>
      </c>
      <c r="D50" s="80">
        <v>0.780548358862144</v>
      </c>
      <c r="E50" s="80">
        <v>0.268329015317287</v>
      </c>
      <c r="F50" s="81">
        <v>0.282346433260394</v>
      </c>
      <c r="G50" s="81">
        <v>0.368490153172867</v>
      </c>
    </row>
    <row r="51" spans="1:7">
      <c r="A51" s="78" t="s">
        <v>217</v>
      </c>
      <c r="B51" s="79">
        <v>128.2</v>
      </c>
      <c r="C51" s="79">
        <f t="shared" si="0"/>
        <v>114.25</v>
      </c>
      <c r="D51" s="80">
        <v>0.804427847113884</v>
      </c>
      <c r="E51" s="80">
        <v>0.282656708268331</v>
      </c>
      <c r="F51" s="81">
        <v>0.295148829953198</v>
      </c>
      <c r="G51" s="81">
        <v>0.37191887675507</v>
      </c>
    </row>
    <row r="52" spans="1:7">
      <c r="A52" s="78" t="s">
        <v>218</v>
      </c>
      <c r="B52" s="79">
        <v>140.07</v>
      </c>
      <c r="C52" s="79">
        <f t="shared" si="0"/>
        <v>128.2</v>
      </c>
      <c r="D52" s="80">
        <v>0.82100128507175</v>
      </c>
      <c r="E52" s="80">
        <v>0.29260077104305</v>
      </c>
      <c r="F52" s="81">
        <v>0.304034268579996</v>
      </c>
      <c r="G52" s="81">
        <v>0.374298565003213</v>
      </c>
    </row>
    <row r="53" spans="1:7">
      <c r="A53" s="78" t="s">
        <v>219</v>
      </c>
      <c r="B53" s="79">
        <v>144.58</v>
      </c>
      <c r="C53" s="79">
        <f t="shared" si="0"/>
        <v>140.07</v>
      </c>
      <c r="D53" s="80">
        <v>0.82658493567575</v>
      </c>
      <c r="E53" s="80">
        <v>0.29595096140545</v>
      </c>
      <c r="F53" s="81">
        <v>0.307027804675612</v>
      </c>
      <c r="G53" s="81">
        <v>0.375100290496611</v>
      </c>
    </row>
    <row r="54" spans="1:7">
      <c r="A54" s="78" t="s">
        <v>220</v>
      </c>
      <c r="B54" s="79">
        <v>178.8</v>
      </c>
      <c r="C54" s="79">
        <f t="shared" si="0"/>
        <v>144.58</v>
      </c>
      <c r="D54" s="80">
        <v>0.85977432885906</v>
      </c>
      <c r="E54" s="80">
        <v>0.315864597315436</v>
      </c>
      <c r="F54" s="81">
        <v>0.324821476510067</v>
      </c>
      <c r="G54" s="81">
        <v>0.379865771812081</v>
      </c>
    </row>
    <row r="55" spans="1:7">
      <c r="A55" s="78" t="s">
        <v>221</v>
      </c>
      <c r="B55" s="79">
        <v>201.18</v>
      </c>
      <c r="C55" s="79">
        <f t="shared" si="0"/>
        <v>178.8</v>
      </c>
      <c r="D55" s="80">
        <v>0.875373546078139</v>
      </c>
      <c r="E55" s="80">
        <v>0.325224127646883</v>
      </c>
      <c r="F55" s="81">
        <v>0.333184610796302</v>
      </c>
      <c r="G55" s="81">
        <v>0.382105577095139</v>
      </c>
    </row>
    <row r="56" spans="1:7">
      <c r="A56" s="78" t="s">
        <v>221</v>
      </c>
      <c r="B56" s="82" t="s">
        <v>431</v>
      </c>
      <c r="C56" s="79">
        <f t="shared" si="0"/>
        <v>201.18</v>
      </c>
      <c r="D56" s="83"/>
      <c r="E56" s="83"/>
      <c r="F56" s="84"/>
      <c r="G56" s="84"/>
    </row>
    <row r="57" spans="1:7">
      <c r="A57" s="78"/>
      <c r="B57" s="82"/>
      <c r="C57" s="82"/>
      <c r="D57" s="83"/>
      <c r="E57" s="85">
        <v>0.0880605952696776</v>
      </c>
      <c r="F57" s="86">
        <v>0.0991752488478609</v>
      </c>
      <c r="G57" s="86">
        <v>0.251661225366641</v>
      </c>
    </row>
    <row r="58" ht="25.5" customHeight="1" spans="1:7">
      <c r="A58" s="87" t="s">
        <v>223</v>
      </c>
      <c r="B58" s="132">
        <v>10</v>
      </c>
      <c r="C58" s="82"/>
      <c r="D58" s="83"/>
      <c r="E58" s="89">
        <v>41.78725</v>
      </c>
      <c r="F58" s="90">
        <v>37.3386666666667</v>
      </c>
      <c r="G58" s="91">
        <v>10</v>
      </c>
    </row>
    <row r="59" ht="24" spans="1:7">
      <c r="A59" s="87" t="s">
        <v>224</v>
      </c>
      <c r="B59" s="88">
        <v>51.2</v>
      </c>
      <c r="C59" s="82"/>
      <c r="D59" s="83"/>
      <c r="E59" s="83"/>
      <c r="F59" s="84"/>
      <c r="G59" s="84"/>
    </row>
    <row r="60" ht="36" spans="1:7">
      <c r="A60" s="92" t="s">
        <v>225</v>
      </c>
      <c r="B60" s="93">
        <v>30.7</v>
      </c>
      <c r="C60" s="78"/>
      <c r="D60" s="83"/>
      <c r="E60" s="93">
        <v>25.07235</v>
      </c>
      <c r="F60" s="94">
        <v>22.4032</v>
      </c>
      <c r="G60" s="94">
        <v>6</v>
      </c>
    </row>
    <row r="62" ht="26.25" customHeight="1" spans="1:2">
      <c r="A62" s="87" t="s">
        <v>224</v>
      </c>
      <c r="B62">
        <f>B59</f>
        <v>51.2</v>
      </c>
    </row>
    <row r="63" spans="1:3">
      <c r="A63" s="531" t="s">
        <v>226</v>
      </c>
      <c r="B63" s="133">
        <f>AVERAGE(B11:B50)</f>
        <v>41.78725</v>
      </c>
      <c r="C63" s="95"/>
    </row>
    <row r="64" spans="1:3">
      <c r="A64" s="531" t="s">
        <v>227</v>
      </c>
      <c r="B64" s="133">
        <f>AVERAGE(B16:B45)</f>
        <v>37.3386666666667</v>
      </c>
      <c r="C64" s="96"/>
    </row>
    <row r="65" spans="1:3">
      <c r="A65" s="531" t="s">
        <v>228</v>
      </c>
      <c r="B65" s="133">
        <f>AVERAGE(B22:B40)</f>
        <v>35.4752631578947</v>
      </c>
      <c r="C65" s="96"/>
    </row>
    <row r="69" ht="18" customHeight="1" spans="1:7">
      <c r="A69" s="97" t="s">
        <v>165</v>
      </c>
      <c r="B69" s="83" t="s">
        <v>229</v>
      </c>
      <c r="C69" s="83"/>
      <c r="D69" s="83"/>
      <c r="E69" s="98">
        <f>(1-E124)^(1/3)-1</f>
        <v>-0.0238991545759106</v>
      </c>
      <c r="F69" s="98">
        <f>(1-F124)^(1/3)-1</f>
        <v>-0.0241834755898351</v>
      </c>
      <c r="G69" s="98"/>
    </row>
    <row r="70" ht="48" spans="1:7">
      <c r="A70" s="99"/>
      <c r="B70" s="93" t="s">
        <v>167</v>
      </c>
      <c r="C70" s="83"/>
      <c r="D70" s="93" t="s">
        <v>168</v>
      </c>
      <c r="E70" s="83" t="s">
        <v>169</v>
      </c>
      <c r="F70" s="84" t="s">
        <v>169</v>
      </c>
      <c r="G70" s="84"/>
    </row>
    <row r="71" spans="1:7">
      <c r="A71" s="100"/>
      <c r="B71" s="83" t="s">
        <v>230</v>
      </c>
      <c r="C71" s="83"/>
      <c r="D71" s="83" t="s">
        <v>171</v>
      </c>
      <c r="E71" s="83" t="s">
        <v>171</v>
      </c>
      <c r="F71" s="84" t="s">
        <v>171</v>
      </c>
      <c r="G71" s="84"/>
    </row>
    <row r="72" spans="1:7">
      <c r="A72" s="75">
        <v>1</v>
      </c>
      <c r="B72" s="76">
        <v>2</v>
      </c>
      <c r="C72" s="76"/>
      <c r="D72" s="76">
        <v>3</v>
      </c>
      <c r="E72" s="76">
        <v>4</v>
      </c>
      <c r="F72" s="77">
        <v>5</v>
      </c>
      <c r="G72" s="77"/>
    </row>
    <row r="73" spans="1:7">
      <c r="A73" s="530" t="s">
        <v>172</v>
      </c>
      <c r="B73" s="101">
        <v>22.31</v>
      </c>
      <c r="C73" s="102">
        <v>0</v>
      </c>
      <c r="D73" s="80">
        <v>0</v>
      </c>
      <c r="E73" s="80">
        <v>0</v>
      </c>
      <c r="F73" s="81">
        <v>0</v>
      </c>
      <c r="G73" s="81">
        <v>0.0225459435230838</v>
      </c>
    </row>
    <row r="74" spans="1:7">
      <c r="A74" s="530" t="s">
        <v>173</v>
      </c>
      <c r="B74" s="101">
        <v>24.56</v>
      </c>
      <c r="C74" s="79">
        <f>B73</f>
        <v>22.31</v>
      </c>
      <c r="D74" s="80">
        <v>0</v>
      </c>
      <c r="E74" s="80">
        <v>0</v>
      </c>
      <c r="F74" s="81">
        <v>0</v>
      </c>
      <c r="G74" s="81">
        <v>0.0296416938110749</v>
      </c>
    </row>
    <row r="75" spans="1:7">
      <c r="A75" s="530" t="s">
        <v>174</v>
      </c>
      <c r="B75" s="101">
        <v>26.14</v>
      </c>
      <c r="C75" s="79">
        <f t="shared" ref="C75:C123" si="1">B74</f>
        <v>24.56</v>
      </c>
      <c r="D75" s="80">
        <v>0</v>
      </c>
      <c r="E75" s="80">
        <v>0</v>
      </c>
      <c r="F75" s="81">
        <v>0</v>
      </c>
      <c r="G75" s="81">
        <v>0.0338944146901301</v>
      </c>
    </row>
    <row r="76" spans="1:7">
      <c r="A76" s="530" t="s">
        <v>175</v>
      </c>
      <c r="B76" s="101">
        <v>28.32</v>
      </c>
      <c r="C76" s="79">
        <f t="shared" si="1"/>
        <v>26.14</v>
      </c>
      <c r="D76" s="80">
        <v>0</v>
      </c>
      <c r="E76" s="80">
        <v>0</v>
      </c>
      <c r="F76" s="81">
        <v>0</v>
      </c>
      <c r="G76" s="81">
        <v>0.0389830508474576</v>
      </c>
    </row>
    <row r="77" spans="1:7">
      <c r="A77" s="530" t="s">
        <v>176</v>
      </c>
      <c r="B77" s="101">
        <v>29.44</v>
      </c>
      <c r="C77" s="79">
        <f t="shared" si="1"/>
        <v>28.32</v>
      </c>
      <c r="D77" s="80">
        <v>0</v>
      </c>
      <c r="E77" s="80">
        <v>0</v>
      </c>
      <c r="F77" s="81">
        <v>0</v>
      </c>
      <c r="G77" s="81">
        <v>0.0478260869565217</v>
      </c>
    </row>
    <row r="78" spans="1:7">
      <c r="A78" s="530" t="s">
        <v>177</v>
      </c>
      <c r="B78" s="101">
        <v>30.07</v>
      </c>
      <c r="C78" s="79">
        <f t="shared" si="1"/>
        <v>29.44</v>
      </c>
      <c r="D78" s="80">
        <v>0</v>
      </c>
      <c r="E78" s="80">
        <v>0</v>
      </c>
      <c r="F78" s="81">
        <v>0</v>
      </c>
      <c r="G78" s="81">
        <v>0.0552045227801796</v>
      </c>
    </row>
    <row r="79" spans="1:7">
      <c r="A79" s="530" t="s">
        <v>178</v>
      </c>
      <c r="B79" s="101">
        <v>32.65</v>
      </c>
      <c r="C79" s="79">
        <f t="shared" si="1"/>
        <v>30.07</v>
      </c>
      <c r="D79" s="80">
        <v>0</v>
      </c>
      <c r="E79" s="80">
        <v>0</v>
      </c>
      <c r="F79" s="81">
        <v>0</v>
      </c>
      <c r="G79" s="81">
        <v>0.0824502297090352</v>
      </c>
    </row>
    <row r="80" spans="1:7">
      <c r="A80" s="78" t="s">
        <v>179</v>
      </c>
      <c r="B80" s="101">
        <v>33.99</v>
      </c>
      <c r="C80" s="79">
        <f t="shared" si="1"/>
        <v>32.65</v>
      </c>
      <c r="D80" s="80">
        <v>0</v>
      </c>
      <c r="E80" s="80">
        <v>0</v>
      </c>
      <c r="F80" s="81">
        <v>0</v>
      </c>
      <c r="G80" s="81">
        <v>0.0949691085613416</v>
      </c>
    </row>
    <row r="81" spans="1:7">
      <c r="A81" s="78" t="s">
        <v>180</v>
      </c>
      <c r="B81" s="101">
        <v>37.03</v>
      </c>
      <c r="C81" s="79">
        <f t="shared" si="1"/>
        <v>33.99</v>
      </c>
      <c r="D81" s="80">
        <v>0.0370631920064812</v>
      </c>
      <c r="E81" s="80"/>
      <c r="F81" s="81">
        <v>0.00420145827707266</v>
      </c>
      <c r="G81" s="81">
        <v>0.12001080205239</v>
      </c>
    </row>
    <row r="82" spans="1:7">
      <c r="A82" s="78" t="s">
        <v>181</v>
      </c>
      <c r="B82" s="101">
        <v>40.01</v>
      </c>
      <c r="C82" s="79">
        <f t="shared" si="1"/>
        <v>37.03</v>
      </c>
      <c r="D82" s="80">
        <v>0.108784053986503</v>
      </c>
      <c r="E82" s="80">
        <v>0.0108784053986503</v>
      </c>
      <c r="F82" s="81">
        <v>0.0113366658335416</v>
      </c>
      <c r="G82" s="81">
        <v>0.140864783804049</v>
      </c>
    </row>
    <row r="83" spans="1:7">
      <c r="A83" s="78" t="s">
        <v>182</v>
      </c>
      <c r="B83" s="101">
        <v>41.37</v>
      </c>
      <c r="C83" s="79">
        <f t="shared" si="1"/>
        <v>40.01</v>
      </c>
      <c r="D83" s="80">
        <v>0.138081943437273</v>
      </c>
      <c r="E83" s="80">
        <v>0.0138081943437273</v>
      </c>
      <c r="F83" s="81">
        <v>0.0142513898960599</v>
      </c>
      <c r="G83" s="81">
        <v>0.149383611312545</v>
      </c>
    </row>
    <row r="84" spans="1:7">
      <c r="A84" s="78" t="s">
        <v>183</v>
      </c>
      <c r="B84" s="101">
        <v>43.79</v>
      </c>
      <c r="C84" s="79">
        <f t="shared" si="1"/>
        <v>41.37</v>
      </c>
      <c r="D84" s="80">
        <v>0.1857147750628</v>
      </c>
      <c r="E84" s="80">
        <v>0.01857147750628</v>
      </c>
      <c r="F84" s="81">
        <v>0.0189901804064855</v>
      </c>
      <c r="G84" s="81">
        <v>0.163233614980589</v>
      </c>
    </row>
    <row r="85" spans="1:7">
      <c r="A85" s="78" t="s">
        <v>184</v>
      </c>
      <c r="B85" s="101">
        <v>44.8</v>
      </c>
      <c r="C85" s="79">
        <f t="shared" si="1"/>
        <v>43.79</v>
      </c>
      <c r="D85" s="80">
        <v>0.204072544642857</v>
      </c>
      <c r="E85" s="80">
        <v>0.0204072544642857</v>
      </c>
      <c r="F85" s="81">
        <v>0.0208165178571429</v>
      </c>
      <c r="G85" s="81">
        <v>0.168571428571429</v>
      </c>
    </row>
    <row r="86" spans="1:7">
      <c r="A86" s="78" t="s">
        <v>185</v>
      </c>
      <c r="B86" s="101">
        <v>45.9</v>
      </c>
      <c r="C86" s="79">
        <f t="shared" si="1"/>
        <v>44.8</v>
      </c>
      <c r="D86" s="80">
        <v>0.223147058823529</v>
      </c>
      <c r="E86" s="80">
        <v>0.0223147058823529</v>
      </c>
      <c r="F86" s="81">
        <v>0.0227141612200436</v>
      </c>
      <c r="G86" s="81">
        <v>0.174117647058824</v>
      </c>
    </row>
    <row r="87" spans="1:7">
      <c r="A87" s="78" t="s">
        <v>186</v>
      </c>
      <c r="B87" s="101">
        <v>46.71</v>
      </c>
      <c r="C87" s="79">
        <f t="shared" si="1"/>
        <v>45.9</v>
      </c>
      <c r="D87" s="80">
        <v>0.236618497109827</v>
      </c>
      <c r="E87" s="80">
        <v>0.0236618497109827</v>
      </c>
      <c r="F87" s="81">
        <v>0.0240543780774995</v>
      </c>
      <c r="G87" s="81">
        <v>0.178034682080925</v>
      </c>
    </row>
    <row r="88" spans="1:7">
      <c r="A88" s="78" t="s">
        <v>187</v>
      </c>
      <c r="B88" s="101">
        <v>47.3</v>
      </c>
      <c r="C88" s="79">
        <f t="shared" si="1"/>
        <v>46.71</v>
      </c>
      <c r="D88" s="80">
        <v>0.246140591966173</v>
      </c>
      <c r="E88" s="80">
        <v>0.0246140591966173</v>
      </c>
      <c r="F88" s="81">
        <v>0.0250016913319239</v>
      </c>
      <c r="G88" s="81">
        <v>0.180803382663848</v>
      </c>
    </row>
    <row r="89" spans="1:7">
      <c r="A89" s="78" t="s">
        <v>188</v>
      </c>
      <c r="B89" s="101">
        <v>48.09</v>
      </c>
      <c r="C89" s="79">
        <f t="shared" si="1"/>
        <v>47.3</v>
      </c>
      <c r="D89" s="80">
        <v>0.258524641297567</v>
      </c>
      <c r="E89" s="80">
        <v>0.0258524641297567</v>
      </c>
      <c r="F89" s="81">
        <v>0.0262337284258682</v>
      </c>
      <c r="G89" s="81">
        <v>0.184404242046163</v>
      </c>
    </row>
    <row r="90" spans="1:7">
      <c r="A90" s="78" t="s">
        <v>189</v>
      </c>
      <c r="B90" s="101">
        <v>49.41</v>
      </c>
      <c r="C90" s="79">
        <f t="shared" si="1"/>
        <v>48.09</v>
      </c>
      <c r="D90" s="80">
        <v>0.278333333333333</v>
      </c>
      <c r="E90" s="80">
        <v>0.0278333333333333</v>
      </c>
      <c r="F90" s="81">
        <v>0.0282044120623356</v>
      </c>
      <c r="G90" s="81">
        <v>0.190163934426229</v>
      </c>
    </row>
    <row r="91" spans="1:7">
      <c r="A91" s="78" t="s">
        <v>190</v>
      </c>
      <c r="B91" s="101">
        <v>51.48</v>
      </c>
      <c r="C91" s="79">
        <f t="shared" si="1"/>
        <v>49.41</v>
      </c>
      <c r="D91" s="80">
        <v>0.307351398601399</v>
      </c>
      <c r="E91" s="80">
        <v>0.0307351398601399</v>
      </c>
      <c r="F91" s="81">
        <v>0.0310912975912976</v>
      </c>
      <c r="G91" s="81">
        <v>0.198601398601399</v>
      </c>
    </row>
    <row r="92" spans="1:7">
      <c r="A92" s="78" t="s">
        <v>191</v>
      </c>
      <c r="B92" s="101">
        <v>52.62</v>
      </c>
      <c r="C92" s="79">
        <f t="shared" si="1"/>
        <v>51.48</v>
      </c>
      <c r="D92" s="80">
        <v>0.322357468643101</v>
      </c>
      <c r="E92" s="80">
        <v>0.0322357468643101</v>
      </c>
      <c r="F92" s="81">
        <v>0.0325841885214747</v>
      </c>
      <c r="G92" s="81">
        <v>0.202964652223489</v>
      </c>
    </row>
    <row r="93" spans="1:7">
      <c r="A93" s="78" t="s">
        <v>192</v>
      </c>
      <c r="B93" s="101">
        <v>53.39</v>
      </c>
      <c r="C93" s="79">
        <f t="shared" si="1"/>
        <v>52.62</v>
      </c>
      <c r="D93" s="80">
        <v>0.332130548791909</v>
      </c>
      <c r="E93" s="80">
        <v>0.0332130548791909</v>
      </c>
      <c r="F93" s="81">
        <v>0.0335564712492976</v>
      </c>
      <c r="G93" s="81">
        <v>0.205806330773553</v>
      </c>
    </row>
    <row r="94" spans="1:7">
      <c r="A94" s="78" t="s">
        <v>193</v>
      </c>
      <c r="B94" s="101">
        <v>54.04</v>
      </c>
      <c r="C94" s="79">
        <f t="shared" si="1"/>
        <v>53.39</v>
      </c>
      <c r="D94" s="80">
        <v>0.340163767579571</v>
      </c>
      <c r="E94" s="80">
        <v>0.0340163767579571</v>
      </c>
      <c r="F94" s="81">
        <v>0.0343556624722428</v>
      </c>
      <c r="G94" s="81">
        <v>0.208142116950407</v>
      </c>
    </row>
    <row r="95" spans="1:7">
      <c r="A95" s="78" t="s">
        <v>194</v>
      </c>
      <c r="B95" s="101">
        <v>54.61</v>
      </c>
      <c r="C95" s="79">
        <f t="shared" si="1"/>
        <v>54.04</v>
      </c>
      <c r="D95" s="80">
        <v>0.347050906427394</v>
      </c>
      <c r="E95" s="80">
        <v>0.0347050906427394</v>
      </c>
      <c r="F95" s="81">
        <v>0.0350408350119026</v>
      </c>
      <c r="G95" s="81">
        <v>0.210144662149789</v>
      </c>
    </row>
    <row r="96" spans="1:7">
      <c r="A96" s="78" t="s">
        <v>195</v>
      </c>
      <c r="B96" s="101">
        <v>55.05</v>
      </c>
      <c r="C96" s="79">
        <f t="shared" si="1"/>
        <v>54.61</v>
      </c>
      <c r="D96" s="80">
        <v>0.352269754768392</v>
      </c>
      <c r="E96" s="80">
        <v>0.0352269754768392</v>
      </c>
      <c r="F96" s="81">
        <v>0.0355600363306085</v>
      </c>
      <c r="G96" s="81">
        <v>0.211662125340599</v>
      </c>
    </row>
    <row r="97" spans="1:7">
      <c r="A97" s="78" t="s">
        <v>196</v>
      </c>
      <c r="B97" s="101">
        <v>56.06</v>
      </c>
      <c r="C97" s="79">
        <f t="shared" si="1"/>
        <v>55.05</v>
      </c>
      <c r="D97" s="80">
        <v>0.36393952907599</v>
      </c>
      <c r="E97" s="80">
        <v>0.036393952907599</v>
      </c>
      <c r="F97" s="81">
        <v>0.0367210132001427</v>
      </c>
      <c r="G97" s="81">
        <v>0.215055297895112</v>
      </c>
    </row>
    <row r="98" spans="1:7">
      <c r="A98" s="78" t="s">
        <v>197</v>
      </c>
      <c r="B98" s="101">
        <v>58.38</v>
      </c>
      <c r="C98" s="79">
        <f t="shared" si="1"/>
        <v>56.06</v>
      </c>
      <c r="D98" s="80">
        <v>0.389216341212744</v>
      </c>
      <c r="E98" s="80">
        <v>0.0389216341212744</v>
      </c>
      <c r="F98" s="81">
        <v>0.0392356971565605</v>
      </c>
      <c r="G98" s="81">
        <v>0.2224049331963</v>
      </c>
    </row>
    <row r="99" spans="1:7">
      <c r="A99" s="78" t="s">
        <v>198</v>
      </c>
      <c r="B99" s="101">
        <v>61</v>
      </c>
      <c r="C99" s="79">
        <f t="shared" si="1"/>
        <v>58.38</v>
      </c>
      <c r="D99" s="80">
        <v>0.41545</v>
      </c>
      <c r="E99" s="80">
        <v>0.04927</v>
      </c>
      <c r="F99" s="81">
        <v>0.0510734426229508</v>
      </c>
      <c r="G99" s="81">
        <v>0.230032786885246</v>
      </c>
    </row>
    <row r="100" spans="1:7">
      <c r="A100" s="78" t="s">
        <v>199</v>
      </c>
      <c r="B100" s="101">
        <v>61.85</v>
      </c>
      <c r="C100" s="79">
        <f t="shared" si="1"/>
        <v>61</v>
      </c>
      <c r="D100" s="80">
        <v>0.423483427647534</v>
      </c>
      <c r="E100" s="80">
        <v>0.0540900565885206</v>
      </c>
      <c r="F100" s="81">
        <v>0.0558687146321746</v>
      </c>
      <c r="G100" s="81">
        <v>0.232368633791431</v>
      </c>
    </row>
    <row r="101" spans="1:7">
      <c r="A101" s="78" t="s">
        <v>200</v>
      </c>
      <c r="B101" s="101">
        <v>63.42</v>
      </c>
      <c r="C101" s="79">
        <f t="shared" si="1"/>
        <v>61.85</v>
      </c>
      <c r="D101" s="80">
        <v>0.437755439924314</v>
      </c>
      <c r="E101" s="80">
        <v>0.0626532639545885</v>
      </c>
      <c r="F101" s="81">
        <v>0.0643878902554399</v>
      </c>
      <c r="G101" s="81">
        <v>0.236518448438978</v>
      </c>
    </row>
    <row r="102" spans="1:7">
      <c r="A102" s="78" t="s">
        <v>201</v>
      </c>
      <c r="B102" s="101">
        <v>64.93</v>
      </c>
      <c r="C102" s="79">
        <f t="shared" si="1"/>
        <v>63.42</v>
      </c>
      <c r="D102" s="80">
        <v>0.450830894809795</v>
      </c>
      <c r="E102" s="80">
        <v>0.0704985368858771</v>
      </c>
      <c r="F102" s="81">
        <v>0.0721928230401972</v>
      </c>
      <c r="G102" s="81">
        <v>0.240320344986909</v>
      </c>
    </row>
    <row r="103" spans="1:7">
      <c r="A103" s="78" t="s">
        <v>202</v>
      </c>
      <c r="B103" s="101">
        <v>66.44</v>
      </c>
      <c r="C103" s="79">
        <f t="shared" si="1"/>
        <v>64.93</v>
      </c>
      <c r="D103" s="80">
        <v>0.463312010836845</v>
      </c>
      <c r="E103" s="80">
        <v>0.0779872065021071</v>
      </c>
      <c r="F103" s="81">
        <v>0.0796429861529199</v>
      </c>
      <c r="G103" s="81">
        <v>0.243949428055388</v>
      </c>
    </row>
    <row r="104" spans="1:7">
      <c r="A104" s="78" t="s">
        <v>203</v>
      </c>
      <c r="B104" s="101">
        <v>67.07</v>
      </c>
      <c r="C104" s="79">
        <f t="shared" si="1"/>
        <v>66.44</v>
      </c>
      <c r="D104" s="80">
        <v>0.468353213060981</v>
      </c>
      <c r="E104" s="80">
        <v>0.0810119278365886</v>
      </c>
      <c r="F104" s="81">
        <v>0.0826521544654838</v>
      </c>
      <c r="G104" s="81">
        <v>0.245415237811242</v>
      </c>
    </row>
    <row r="105" spans="1:7">
      <c r="A105" s="78" t="s">
        <v>204</v>
      </c>
      <c r="B105" s="101">
        <v>68.49</v>
      </c>
      <c r="C105" s="79">
        <f t="shared" si="1"/>
        <v>67.07</v>
      </c>
      <c r="D105" s="80">
        <v>0.479375821287779</v>
      </c>
      <c r="E105" s="80">
        <v>0.0876254927726675</v>
      </c>
      <c r="F105" s="81">
        <v>0.0892317126587823</v>
      </c>
      <c r="G105" s="81">
        <v>0.24862023653088</v>
      </c>
    </row>
    <row r="106" spans="1:7">
      <c r="A106" s="78" t="s">
        <v>205</v>
      </c>
      <c r="B106" s="101">
        <v>69.44</v>
      </c>
      <c r="C106" s="79">
        <f t="shared" si="1"/>
        <v>68.49</v>
      </c>
      <c r="D106" s="80">
        <v>0.486498415898617</v>
      </c>
      <c r="E106" s="80">
        <v>0.0918990495391705</v>
      </c>
      <c r="F106" s="81">
        <v>0.0934832949308756</v>
      </c>
      <c r="G106" s="81">
        <v>0.250691244239631</v>
      </c>
    </row>
    <row r="107" spans="1:7">
      <c r="A107" s="78" t="s">
        <v>206</v>
      </c>
      <c r="B107" s="101">
        <v>69.97</v>
      </c>
      <c r="C107" s="79">
        <f t="shared" si="1"/>
        <v>69.44</v>
      </c>
      <c r="D107" s="80">
        <v>0.490388023438617</v>
      </c>
      <c r="E107" s="80">
        <v>0.0942328140631699</v>
      </c>
      <c r="F107" s="81">
        <v>0.0958050593111334</v>
      </c>
      <c r="G107" s="81">
        <v>0.251822209518365</v>
      </c>
    </row>
    <row r="108" spans="1:7">
      <c r="A108" s="78" t="s">
        <v>207</v>
      </c>
      <c r="B108" s="101">
        <v>70.9</v>
      </c>
      <c r="C108" s="79">
        <f t="shared" si="1"/>
        <v>69.97</v>
      </c>
      <c r="D108" s="80">
        <v>0.49707263751763</v>
      </c>
      <c r="E108" s="80">
        <v>0.0982435825105783</v>
      </c>
      <c r="F108" s="81">
        <v>0.0997952045133992</v>
      </c>
      <c r="G108" s="81">
        <v>0.2537658674189</v>
      </c>
    </row>
    <row r="109" spans="1:7">
      <c r="A109" s="78" t="s">
        <v>208</v>
      </c>
      <c r="B109" s="101">
        <v>73.2</v>
      </c>
      <c r="C109" s="79">
        <f t="shared" si="1"/>
        <v>70.9</v>
      </c>
      <c r="D109" s="80">
        <v>0.512875</v>
      </c>
      <c r="E109" s="80">
        <v>0.107725</v>
      </c>
      <c r="F109" s="81">
        <v>0.109227868852459</v>
      </c>
      <c r="G109" s="81">
        <v>0.258360655737705</v>
      </c>
    </row>
    <row r="110" spans="1:7">
      <c r="A110" s="78" t="s">
        <v>209</v>
      </c>
      <c r="B110" s="101">
        <v>76.06</v>
      </c>
      <c r="C110" s="79">
        <f t="shared" si="1"/>
        <v>73.2</v>
      </c>
      <c r="D110" s="80">
        <v>0.531191822245596</v>
      </c>
      <c r="E110" s="80">
        <v>0.118715093347357</v>
      </c>
      <c r="F110" s="81">
        <v>0.120161451485669</v>
      </c>
      <c r="G110" s="81">
        <v>0.263686563239548</v>
      </c>
    </row>
    <row r="111" spans="1:7">
      <c r="A111" s="78" t="s">
        <v>210</v>
      </c>
      <c r="B111" s="101">
        <v>78.07</v>
      </c>
      <c r="C111" s="79">
        <f t="shared" si="1"/>
        <v>76.06</v>
      </c>
      <c r="D111" s="80">
        <v>0.543261816318688</v>
      </c>
      <c r="E111" s="80">
        <v>0.125957089791213</v>
      </c>
      <c r="F111" s="81">
        <v>0.127366209811707</v>
      </c>
      <c r="G111" s="81">
        <v>0.267196106058665</v>
      </c>
    </row>
    <row r="112" spans="1:7">
      <c r="A112" s="78" t="s">
        <v>211</v>
      </c>
      <c r="B112" s="101">
        <v>79.87</v>
      </c>
      <c r="C112" s="79">
        <f t="shared" si="1"/>
        <v>78.07</v>
      </c>
      <c r="D112" s="80">
        <v>0.553555152122199</v>
      </c>
      <c r="E112" s="80">
        <v>0.132133091273319</v>
      </c>
      <c r="F112" s="81">
        <v>0.133510454488544</v>
      </c>
      <c r="G112" s="81">
        <v>0.270189057217979</v>
      </c>
    </row>
    <row r="113" spans="1:7">
      <c r="A113" s="78" t="s">
        <v>212</v>
      </c>
      <c r="B113" s="101">
        <v>81.82</v>
      </c>
      <c r="C113" s="79">
        <f t="shared" si="1"/>
        <v>79.87</v>
      </c>
      <c r="D113" s="80">
        <v>0.564195184551454</v>
      </c>
      <c r="E113" s="80">
        <v>0.138517110730873</v>
      </c>
      <c r="F113" s="81">
        <v>0.139861647518944</v>
      </c>
      <c r="G113" s="81">
        <v>0.273282815937424</v>
      </c>
    </row>
    <row r="114" spans="1:7">
      <c r="A114" s="78" t="s">
        <v>213</v>
      </c>
      <c r="B114" s="101">
        <v>84.52</v>
      </c>
      <c r="C114" s="79">
        <f t="shared" si="1"/>
        <v>81.82</v>
      </c>
      <c r="D114" s="80">
        <v>0.578117013724562</v>
      </c>
      <c r="E114" s="80">
        <v>0.146870208234737</v>
      </c>
      <c r="F114" s="81">
        <v>0.148171793658306</v>
      </c>
      <c r="G114" s="81">
        <v>0.277330809275911</v>
      </c>
    </row>
    <row r="115" spans="1:7">
      <c r="A115" s="78" t="s">
        <v>214</v>
      </c>
      <c r="B115" s="101">
        <v>86.73</v>
      </c>
      <c r="C115" s="79">
        <f t="shared" si="1"/>
        <v>84.52</v>
      </c>
      <c r="D115" s="80">
        <v>0.588867173988239</v>
      </c>
      <c r="E115" s="80">
        <v>0.153320304392944</v>
      </c>
      <c r="F115" s="81">
        <v>0.154588723625043</v>
      </c>
      <c r="G115" s="81">
        <v>0.280456589415427</v>
      </c>
    </row>
    <row r="116" spans="1:7">
      <c r="A116" s="78" t="s">
        <v>215</v>
      </c>
      <c r="B116" s="101">
        <v>87.69</v>
      </c>
      <c r="C116" s="79">
        <f t="shared" si="1"/>
        <v>86.73</v>
      </c>
      <c r="D116" s="80">
        <v>0.593368114950393</v>
      </c>
      <c r="E116" s="80">
        <v>0.156020868970236</v>
      </c>
      <c r="F116" s="81">
        <v>0.157275401984263</v>
      </c>
      <c r="G116" s="81">
        <v>0.281765309613411</v>
      </c>
    </row>
    <row r="117" spans="1:7">
      <c r="A117" s="78" t="s">
        <v>216</v>
      </c>
      <c r="B117" s="101">
        <v>88.95</v>
      </c>
      <c r="C117" s="79">
        <f t="shared" si="1"/>
        <v>87.69</v>
      </c>
      <c r="D117" s="80">
        <v>0.599128161888702</v>
      </c>
      <c r="E117" s="80">
        <v>0.159476897133221</v>
      </c>
      <c r="F117" s="81">
        <v>0.160713659359191</v>
      </c>
      <c r="G117" s="81">
        <v>0.283440134907251</v>
      </c>
    </row>
    <row r="118" spans="1:7">
      <c r="A118" s="78" t="s">
        <v>217</v>
      </c>
      <c r="B118" s="101">
        <v>95.98</v>
      </c>
      <c r="C118" s="79">
        <f t="shared" si="1"/>
        <v>88.95</v>
      </c>
      <c r="D118" s="80">
        <v>0.628489789539487</v>
      </c>
      <c r="E118" s="80">
        <v>0.177093873723692</v>
      </c>
      <c r="F118" s="81">
        <v>0.178240050010419</v>
      </c>
      <c r="G118" s="81">
        <v>0.291977495311523</v>
      </c>
    </row>
    <row r="119" spans="1:7">
      <c r="A119" s="78" t="s">
        <v>218</v>
      </c>
      <c r="B119" s="101">
        <v>104.47</v>
      </c>
      <c r="C119" s="79">
        <f t="shared" si="1"/>
        <v>95.98</v>
      </c>
      <c r="D119" s="80">
        <v>0.658681439647746</v>
      </c>
      <c r="E119" s="80">
        <v>0.195208863788647</v>
      </c>
      <c r="F119" s="81">
        <v>0.196261893366517</v>
      </c>
      <c r="G119" s="81">
        <v>0.300756197951565</v>
      </c>
    </row>
    <row r="120" spans="1:7">
      <c r="A120" s="78" t="s">
        <v>219</v>
      </c>
      <c r="B120" s="101">
        <v>110.33</v>
      </c>
      <c r="C120" s="79">
        <f t="shared" si="1"/>
        <v>104.47</v>
      </c>
      <c r="D120" s="80">
        <v>0.676810024472038</v>
      </c>
      <c r="E120" s="80">
        <v>0.206086014683223</v>
      </c>
      <c r="F120" s="81">
        <v>0.207083114293483</v>
      </c>
      <c r="G120" s="81">
        <v>0.30602737242817</v>
      </c>
    </row>
    <row r="121" spans="1:7">
      <c r="A121" s="78" t="s">
        <v>220</v>
      </c>
      <c r="B121" s="101">
        <v>119.1</v>
      </c>
      <c r="C121" s="79">
        <f t="shared" si="1"/>
        <v>110.33</v>
      </c>
      <c r="D121" s="80">
        <v>0.700608312342569</v>
      </c>
      <c r="E121" s="80">
        <v>0.220364987405542</v>
      </c>
      <c r="F121" s="81">
        <v>0.221288664987406</v>
      </c>
      <c r="G121" s="81">
        <v>0.312947103274559</v>
      </c>
    </row>
    <row r="122" spans="1:7">
      <c r="A122" s="78" t="s">
        <v>221</v>
      </c>
      <c r="B122" s="101">
        <v>124.23</v>
      </c>
      <c r="C122" s="79">
        <f t="shared" si="1"/>
        <v>119.1</v>
      </c>
      <c r="D122" s="80">
        <v>0.71297150446752</v>
      </c>
      <c r="E122" s="80">
        <v>0.227782902680512</v>
      </c>
      <c r="F122" s="81">
        <v>0.228668437575465</v>
      </c>
      <c r="G122" s="81">
        <v>0.316541898092248</v>
      </c>
    </row>
    <row r="123" spans="1:7">
      <c r="A123" s="78" t="s">
        <v>221</v>
      </c>
      <c r="B123" s="78" t="s">
        <v>432</v>
      </c>
      <c r="C123" s="79">
        <f t="shared" si="1"/>
        <v>124.23</v>
      </c>
      <c r="D123" s="83" t="s">
        <v>232</v>
      </c>
      <c r="E123" s="83"/>
      <c r="F123" s="84"/>
      <c r="G123" s="84"/>
    </row>
    <row r="124" spans="1:7">
      <c r="A124" s="78"/>
      <c r="B124" s="78"/>
      <c r="C124" s="78"/>
      <c r="D124" s="83"/>
      <c r="E124" s="85">
        <v>0.0699976054297094</v>
      </c>
      <c r="F124" s="86">
        <v>0.0708100487704454</v>
      </c>
      <c r="G124" s="86">
        <v>0.202946944862896</v>
      </c>
    </row>
    <row r="125" ht="26.25" customHeight="1" spans="1:7">
      <c r="A125" s="87" t="s">
        <v>233</v>
      </c>
      <c r="B125" s="134">
        <v>28.8</v>
      </c>
      <c r="C125" s="78"/>
      <c r="D125" s="83"/>
      <c r="E125" s="103">
        <v>59.42925</v>
      </c>
      <c r="F125" s="104">
        <v>59.1236666666667</v>
      </c>
      <c r="G125" s="105">
        <v>28.8</v>
      </c>
    </row>
    <row r="126" ht="27.75" customHeight="1" spans="1:7">
      <c r="A126" s="87" t="s">
        <v>224</v>
      </c>
      <c r="B126" s="93">
        <v>61.8</v>
      </c>
      <c r="C126" s="78"/>
      <c r="D126" s="83"/>
      <c r="E126" s="93"/>
      <c r="F126" s="94"/>
      <c r="G126" s="94"/>
    </row>
    <row r="127" ht="37.5" customHeight="1" spans="1:7">
      <c r="A127" s="106" t="s">
        <v>225</v>
      </c>
      <c r="B127" s="89">
        <v>37.1</v>
      </c>
      <c r="C127" s="78"/>
      <c r="D127" s="83"/>
      <c r="E127" s="103">
        <v>35.65755</v>
      </c>
      <c r="F127" s="104">
        <v>35.4742</v>
      </c>
      <c r="G127" s="104">
        <v>17.28</v>
      </c>
    </row>
    <row r="129" ht="29.65" customHeight="1" spans="1:2">
      <c r="A129" s="87" t="s">
        <v>224</v>
      </c>
      <c r="B129" s="135">
        <f>B126</f>
        <v>61.8</v>
      </c>
    </row>
    <row r="130" spans="1:3">
      <c r="A130" s="531" t="s">
        <v>226</v>
      </c>
      <c r="B130" s="95">
        <f>AVERAGE(B78:B117)</f>
        <v>59.42925</v>
      </c>
      <c r="C130" s="95"/>
    </row>
    <row r="131" spans="1:3">
      <c r="A131" s="531" t="s">
        <v>227</v>
      </c>
      <c r="B131" s="96">
        <f>AVERAGE(B83:B112)</f>
        <v>59.1236666666667</v>
      </c>
      <c r="C131" s="96"/>
    </row>
    <row r="132" spans="1:3">
      <c r="A132" s="531" t="s">
        <v>228</v>
      </c>
      <c r="B132" s="96">
        <f>AVERAGE(B89:B107)</f>
        <v>59.2494736842105</v>
      </c>
      <c r="C132" s="96"/>
    </row>
    <row r="134" customHeight="1" spans="1:7">
      <c r="A134" s="97" t="s">
        <v>165</v>
      </c>
      <c r="B134" s="83" t="s">
        <v>234</v>
      </c>
      <c r="C134" s="83"/>
      <c r="D134" s="83"/>
      <c r="E134" s="86">
        <f>(1-E189)^(1/3)-1</f>
        <v>-0.0337102656585967</v>
      </c>
      <c r="F134" s="86">
        <f>(1-F189)^(1/3)-1</f>
        <v>-0.0401233407847378</v>
      </c>
      <c r="G134" s="86"/>
    </row>
    <row r="135" ht="46.15" customHeight="1" spans="1:7">
      <c r="A135" s="99"/>
      <c r="B135" s="93" t="s">
        <v>167</v>
      </c>
      <c r="C135" s="107"/>
      <c r="D135" s="93" t="s">
        <v>168</v>
      </c>
      <c r="E135" s="83" t="s">
        <v>169</v>
      </c>
      <c r="F135" s="84" t="s">
        <v>169</v>
      </c>
      <c r="G135" s="84"/>
    </row>
    <row r="136" spans="1:7">
      <c r="A136" s="100"/>
      <c r="B136" s="83" t="s">
        <v>235</v>
      </c>
      <c r="C136" s="107"/>
      <c r="D136" s="83" t="s">
        <v>171</v>
      </c>
      <c r="E136" s="532" t="s">
        <v>227</v>
      </c>
      <c r="F136" s="122"/>
      <c r="G136" s="123"/>
    </row>
    <row r="137" spans="1:7">
      <c r="A137" s="75">
        <v>1</v>
      </c>
      <c r="B137" s="76">
        <v>2</v>
      </c>
      <c r="C137" s="76"/>
      <c r="D137" s="76">
        <v>3</v>
      </c>
      <c r="E137" s="76">
        <v>4</v>
      </c>
      <c r="F137" s="77">
        <v>5</v>
      </c>
      <c r="G137" s="77"/>
    </row>
    <row r="138" spans="1:7">
      <c r="A138" s="530" t="s">
        <v>172</v>
      </c>
      <c r="B138" s="125">
        <v>0.02</v>
      </c>
      <c r="C138" s="112">
        <v>0</v>
      </c>
      <c r="D138" s="80">
        <v>0</v>
      </c>
      <c r="E138" s="80">
        <v>0</v>
      </c>
      <c r="F138" s="81">
        <v>0</v>
      </c>
      <c r="G138" s="81">
        <v>0</v>
      </c>
    </row>
    <row r="139" spans="1:7">
      <c r="A139" s="530" t="s">
        <v>173</v>
      </c>
      <c r="B139" s="125">
        <v>0.02</v>
      </c>
      <c r="C139" s="79">
        <f>B138</f>
        <v>0.02</v>
      </c>
      <c r="D139" s="80">
        <v>0</v>
      </c>
      <c r="E139" s="80">
        <v>0</v>
      </c>
      <c r="F139" s="81">
        <v>0</v>
      </c>
      <c r="G139" s="81">
        <v>0</v>
      </c>
    </row>
    <row r="140" spans="1:7">
      <c r="A140" s="530" t="s">
        <v>174</v>
      </c>
      <c r="B140" s="125">
        <v>0.02</v>
      </c>
      <c r="C140" s="79">
        <f t="shared" ref="C140:C188" si="2">B139</f>
        <v>0.02</v>
      </c>
      <c r="D140" s="80">
        <v>0</v>
      </c>
      <c r="E140" s="80">
        <v>0</v>
      </c>
      <c r="F140" s="81">
        <v>0</v>
      </c>
      <c r="G140" s="81">
        <v>0</v>
      </c>
    </row>
    <row r="141" spans="1:7">
      <c r="A141" s="530" t="s">
        <v>175</v>
      </c>
      <c r="B141" s="125">
        <v>0.02</v>
      </c>
      <c r="C141" s="79">
        <f t="shared" si="2"/>
        <v>0.02</v>
      </c>
      <c r="D141" s="80">
        <v>0</v>
      </c>
      <c r="E141" s="80">
        <v>0</v>
      </c>
      <c r="F141" s="81">
        <v>0</v>
      </c>
      <c r="G141" s="81">
        <v>0</v>
      </c>
    </row>
    <row r="142" spans="1:7">
      <c r="A142" s="530" t="s">
        <v>176</v>
      </c>
      <c r="B142" s="125">
        <v>0.02</v>
      </c>
      <c r="C142" s="79">
        <f t="shared" si="2"/>
        <v>0.02</v>
      </c>
      <c r="D142" s="80">
        <v>0</v>
      </c>
      <c r="E142" s="80">
        <v>0</v>
      </c>
      <c r="F142" s="81">
        <v>0</v>
      </c>
      <c r="G142" s="81">
        <v>0</v>
      </c>
    </row>
    <row r="143" spans="1:7">
      <c r="A143" s="530" t="s">
        <v>177</v>
      </c>
      <c r="B143" s="125">
        <v>0.03</v>
      </c>
      <c r="C143" s="79">
        <f t="shared" si="2"/>
        <v>0.02</v>
      </c>
      <c r="D143" s="80">
        <v>0</v>
      </c>
      <c r="E143" s="80">
        <v>0</v>
      </c>
      <c r="F143" s="81">
        <v>0</v>
      </c>
      <c r="G143" s="81">
        <v>0</v>
      </c>
    </row>
    <row r="144" spans="1:7">
      <c r="A144" s="530" t="s">
        <v>178</v>
      </c>
      <c r="B144" s="125">
        <v>0.03</v>
      </c>
      <c r="C144" s="79">
        <f t="shared" si="2"/>
        <v>0.03</v>
      </c>
      <c r="D144" s="80">
        <v>0</v>
      </c>
      <c r="E144" s="80">
        <v>0</v>
      </c>
      <c r="F144" s="81">
        <v>0</v>
      </c>
      <c r="G144" s="81">
        <v>0</v>
      </c>
    </row>
    <row r="145" spans="1:7">
      <c r="A145" s="78" t="s">
        <v>179</v>
      </c>
      <c r="B145" s="125">
        <v>0.04</v>
      </c>
      <c r="C145" s="79">
        <f t="shared" si="2"/>
        <v>0.03</v>
      </c>
      <c r="D145" s="80">
        <v>0</v>
      </c>
      <c r="E145" s="80">
        <v>0</v>
      </c>
      <c r="F145" s="81">
        <v>0</v>
      </c>
      <c r="G145" s="81">
        <v>0</v>
      </c>
    </row>
    <row r="146" spans="1:7">
      <c r="A146" s="78" t="s">
        <v>180</v>
      </c>
      <c r="B146" s="125">
        <v>0.05</v>
      </c>
      <c r="C146" s="79">
        <f t="shared" si="2"/>
        <v>0.04</v>
      </c>
      <c r="D146" s="80">
        <v>0</v>
      </c>
      <c r="E146" s="80">
        <v>0</v>
      </c>
      <c r="F146" s="81">
        <v>0</v>
      </c>
      <c r="G146" s="81">
        <v>0</v>
      </c>
    </row>
    <row r="147" spans="1:7">
      <c r="A147" s="78" t="s">
        <v>181</v>
      </c>
      <c r="B147" s="125">
        <v>0.06</v>
      </c>
      <c r="C147" s="79">
        <f t="shared" si="2"/>
        <v>0.05</v>
      </c>
      <c r="D147" s="80">
        <v>0</v>
      </c>
      <c r="E147" s="80">
        <v>0</v>
      </c>
      <c r="F147" s="81">
        <v>0</v>
      </c>
      <c r="G147" s="81">
        <v>0</v>
      </c>
    </row>
    <row r="148" spans="1:7">
      <c r="A148" s="78" t="s">
        <v>182</v>
      </c>
      <c r="B148" s="125">
        <v>0.07</v>
      </c>
      <c r="C148" s="79">
        <f t="shared" si="2"/>
        <v>0.06</v>
      </c>
      <c r="D148" s="80">
        <v>0</v>
      </c>
      <c r="E148" s="80">
        <v>0</v>
      </c>
      <c r="F148" s="81">
        <v>0</v>
      </c>
      <c r="G148" s="81">
        <v>0</v>
      </c>
    </row>
    <row r="149" spans="1:7">
      <c r="A149" s="78" t="s">
        <v>183</v>
      </c>
      <c r="B149" s="125">
        <v>0.11</v>
      </c>
      <c r="C149" s="79">
        <f t="shared" si="2"/>
        <v>0.07</v>
      </c>
      <c r="D149" s="80">
        <v>0</v>
      </c>
      <c r="E149" s="80">
        <v>0</v>
      </c>
      <c r="F149" s="81">
        <v>0</v>
      </c>
      <c r="G149" s="81">
        <v>0</v>
      </c>
    </row>
    <row r="150" spans="1:7">
      <c r="A150" s="78" t="s">
        <v>184</v>
      </c>
      <c r="B150" s="125">
        <v>0.14</v>
      </c>
      <c r="C150" s="79">
        <f t="shared" si="2"/>
        <v>0.11</v>
      </c>
      <c r="D150" s="80">
        <v>0</v>
      </c>
      <c r="E150" s="80">
        <v>0</v>
      </c>
      <c r="F150" s="81">
        <v>0</v>
      </c>
      <c r="G150" s="81">
        <v>0</v>
      </c>
    </row>
    <row r="151" spans="1:7">
      <c r="A151" s="78" t="s">
        <v>185</v>
      </c>
      <c r="B151" s="125">
        <v>0.21</v>
      </c>
      <c r="C151" s="79">
        <f t="shared" si="2"/>
        <v>0.14</v>
      </c>
      <c r="D151" s="80">
        <v>0</v>
      </c>
      <c r="E151" s="80">
        <v>0</v>
      </c>
      <c r="F151" s="81">
        <v>0</v>
      </c>
      <c r="G151" s="81">
        <v>0</v>
      </c>
    </row>
    <row r="152" spans="1:7">
      <c r="A152" s="78" t="s">
        <v>186</v>
      </c>
      <c r="B152" s="125">
        <v>0.26</v>
      </c>
      <c r="C152" s="79">
        <f t="shared" si="2"/>
        <v>0.21</v>
      </c>
      <c r="D152" s="80">
        <v>0</v>
      </c>
      <c r="E152" s="80">
        <v>0</v>
      </c>
      <c r="F152" s="81">
        <v>0</v>
      </c>
      <c r="G152" s="81">
        <v>0</v>
      </c>
    </row>
    <row r="153" spans="1:7">
      <c r="A153" s="78" t="s">
        <v>187</v>
      </c>
      <c r="B153" s="125">
        <v>0.29</v>
      </c>
      <c r="C153" s="79">
        <f t="shared" si="2"/>
        <v>0.26</v>
      </c>
      <c r="D153" s="80">
        <v>0</v>
      </c>
      <c r="E153" s="80">
        <v>0</v>
      </c>
      <c r="F153" s="81">
        <v>0</v>
      </c>
      <c r="G153" s="81">
        <v>0</v>
      </c>
    </row>
    <row r="154" spans="1:7">
      <c r="A154" s="78" t="s">
        <v>188</v>
      </c>
      <c r="B154" s="125">
        <v>0.31</v>
      </c>
      <c r="C154" s="79">
        <f t="shared" si="2"/>
        <v>0.29</v>
      </c>
      <c r="D154" s="80">
        <v>0</v>
      </c>
      <c r="E154" s="80">
        <v>0</v>
      </c>
      <c r="F154" s="81">
        <v>0</v>
      </c>
      <c r="G154" s="81">
        <v>0</v>
      </c>
    </row>
    <row r="155" spans="1:7">
      <c r="A155" s="78" t="s">
        <v>189</v>
      </c>
      <c r="B155" s="125">
        <v>0.4</v>
      </c>
      <c r="C155" s="79">
        <f t="shared" si="2"/>
        <v>0.31</v>
      </c>
      <c r="D155" s="80">
        <v>0</v>
      </c>
      <c r="E155" s="80">
        <v>0</v>
      </c>
      <c r="F155" s="81">
        <v>0</v>
      </c>
      <c r="G155" s="81">
        <v>0</v>
      </c>
    </row>
    <row r="156" spans="1:7">
      <c r="A156" s="78" t="s">
        <v>190</v>
      </c>
      <c r="B156" s="125">
        <v>0.47</v>
      </c>
      <c r="C156" s="79">
        <f t="shared" si="2"/>
        <v>0.4</v>
      </c>
      <c r="D156" s="80">
        <v>0</v>
      </c>
      <c r="E156" s="80">
        <v>0</v>
      </c>
      <c r="F156" s="81">
        <v>0</v>
      </c>
      <c r="G156" s="81">
        <v>0.00170212765957447</v>
      </c>
    </row>
    <row r="157" spans="1:7">
      <c r="A157" s="78" t="s">
        <v>191</v>
      </c>
      <c r="B157" s="125">
        <v>0.57</v>
      </c>
      <c r="C157" s="79">
        <f t="shared" si="2"/>
        <v>0.47</v>
      </c>
      <c r="D157" s="80">
        <v>0</v>
      </c>
      <c r="E157" s="80">
        <v>0</v>
      </c>
      <c r="F157" s="81">
        <v>0</v>
      </c>
      <c r="G157" s="81">
        <v>0.0189473684210526</v>
      </c>
    </row>
    <row r="158" spans="1:7">
      <c r="A158" s="78" t="s">
        <v>192</v>
      </c>
      <c r="B158" s="125">
        <v>0.68</v>
      </c>
      <c r="C158" s="79">
        <f t="shared" si="2"/>
        <v>0.57</v>
      </c>
      <c r="D158" s="80">
        <v>0</v>
      </c>
      <c r="E158" s="80">
        <v>0</v>
      </c>
      <c r="F158" s="81">
        <v>0</v>
      </c>
      <c r="G158" s="81">
        <v>0.0320588235294118</v>
      </c>
    </row>
    <row r="159" spans="1:7">
      <c r="A159" s="78" t="s">
        <v>193</v>
      </c>
      <c r="B159" s="125">
        <v>0.73</v>
      </c>
      <c r="C159" s="79">
        <f t="shared" si="2"/>
        <v>0.68</v>
      </c>
      <c r="D159" s="80">
        <v>0</v>
      </c>
      <c r="E159" s="80">
        <v>0</v>
      </c>
      <c r="F159" s="81">
        <v>0</v>
      </c>
      <c r="G159" s="81">
        <v>0.0367123287671233</v>
      </c>
    </row>
    <row r="160" spans="1:7">
      <c r="A160" s="78" t="s">
        <v>194</v>
      </c>
      <c r="B160" s="125">
        <v>0.79</v>
      </c>
      <c r="C160" s="79">
        <f t="shared" si="2"/>
        <v>0.73</v>
      </c>
      <c r="D160" s="80">
        <v>0</v>
      </c>
      <c r="E160" s="80">
        <v>0</v>
      </c>
      <c r="F160" s="81">
        <v>0</v>
      </c>
      <c r="G160" s="81">
        <v>0.0491139240506329</v>
      </c>
    </row>
    <row r="161" spans="1:7">
      <c r="A161" s="78" t="s">
        <v>195</v>
      </c>
      <c r="B161" s="125">
        <v>0.87</v>
      </c>
      <c r="C161" s="79">
        <f t="shared" si="2"/>
        <v>0.79</v>
      </c>
      <c r="D161" s="80">
        <v>0</v>
      </c>
      <c r="E161" s="80">
        <v>0</v>
      </c>
      <c r="F161" s="81">
        <v>0</v>
      </c>
      <c r="G161" s="81">
        <v>0.0813793103448276</v>
      </c>
    </row>
    <row r="162" spans="1:7">
      <c r="A162" s="78" t="s">
        <v>196</v>
      </c>
      <c r="B162" s="125">
        <v>0.93</v>
      </c>
      <c r="C162" s="79">
        <f t="shared" si="2"/>
        <v>0.87</v>
      </c>
      <c r="D162" s="80">
        <v>0</v>
      </c>
      <c r="E162" s="80">
        <v>0</v>
      </c>
      <c r="F162" s="81">
        <v>0</v>
      </c>
      <c r="G162" s="81">
        <v>0.101935483870968</v>
      </c>
    </row>
    <row r="163" spans="1:7">
      <c r="A163" s="78" t="s">
        <v>197</v>
      </c>
      <c r="B163" s="125">
        <v>1.02</v>
      </c>
      <c r="C163" s="79">
        <f t="shared" si="2"/>
        <v>0.93</v>
      </c>
      <c r="D163" s="80">
        <v>0</v>
      </c>
      <c r="E163" s="80">
        <v>0</v>
      </c>
      <c r="F163" s="81">
        <v>0.00405882352941175</v>
      </c>
      <c r="G163" s="81">
        <v>0.128235294117647</v>
      </c>
    </row>
    <row r="164" spans="1:7">
      <c r="A164" s="78" t="s">
        <v>198</v>
      </c>
      <c r="B164" s="125">
        <v>1.08</v>
      </c>
      <c r="C164" s="79">
        <f t="shared" si="2"/>
        <v>1.02</v>
      </c>
      <c r="D164" s="80">
        <v>0</v>
      </c>
      <c r="E164" s="80">
        <v>0</v>
      </c>
      <c r="F164" s="81">
        <v>0.00938888888888888</v>
      </c>
      <c r="G164" s="81">
        <v>0.143333333333333</v>
      </c>
    </row>
    <row r="165" spans="1:7">
      <c r="A165" s="78" t="s">
        <v>199</v>
      </c>
      <c r="B165" s="125">
        <v>1.22</v>
      </c>
      <c r="C165" s="79">
        <f t="shared" si="2"/>
        <v>1.08</v>
      </c>
      <c r="D165" s="80">
        <v>0</v>
      </c>
      <c r="E165" s="80">
        <v>0</v>
      </c>
      <c r="F165" s="81">
        <v>0.0197868852459016</v>
      </c>
      <c r="G165" s="81">
        <v>0.172786885245902</v>
      </c>
    </row>
    <row r="166" spans="1:7">
      <c r="A166" s="78" t="s">
        <v>200</v>
      </c>
      <c r="B166" s="125">
        <v>1.46</v>
      </c>
      <c r="C166" s="79">
        <f t="shared" si="2"/>
        <v>1.22</v>
      </c>
      <c r="D166" s="80">
        <v>0.102465753424658</v>
      </c>
      <c r="E166" s="80">
        <v>0.0102465753424658</v>
      </c>
      <c r="F166" s="81">
        <v>0.032972602739726</v>
      </c>
      <c r="G166" s="81">
        <v>0.21013698630137</v>
      </c>
    </row>
    <row r="167" spans="1:7">
      <c r="A167" s="78" t="s">
        <v>201</v>
      </c>
      <c r="B167" s="125">
        <v>1.75</v>
      </c>
      <c r="C167" s="79">
        <f t="shared" si="2"/>
        <v>1.46</v>
      </c>
      <c r="D167" s="80">
        <v>0.2512</v>
      </c>
      <c r="E167" s="80">
        <v>0.02512</v>
      </c>
      <c r="F167" s="81">
        <v>0.06448</v>
      </c>
      <c r="G167" s="81">
        <v>0.2416</v>
      </c>
    </row>
    <row r="168" spans="1:7">
      <c r="A168" s="78" t="s">
        <v>202</v>
      </c>
      <c r="B168" s="125">
        <v>2.22</v>
      </c>
      <c r="C168" s="79">
        <f t="shared" si="2"/>
        <v>1.75</v>
      </c>
      <c r="D168" s="80">
        <v>0.40972972972973</v>
      </c>
      <c r="E168" s="80">
        <v>0.0458378378378378</v>
      </c>
      <c r="F168" s="81">
        <v>0.135513513513514</v>
      </c>
      <c r="G168" s="81">
        <v>0.275135135135135</v>
      </c>
    </row>
    <row r="169" spans="1:7">
      <c r="A169" s="78" t="s">
        <v>203</v>
      </c>
      <c r="B169" s="125">
        <v>2.48</v>
      </c>
      <c r="C169" s="79">
        <f t="shared" si="2"/>
        <v>2.22</v>
      </c>
      <c r="D169" s="80">
        <v>0.471612903225806</v>
      </c>
      <c r="E169" s="80">
        <v>0.0829677419354839</v>
      </c>
      <c r="F169" s="81">
        <v>0.163241935483871</v>
      </c>
      <c r="G169" s="81">
        <v>0.288225806451613</v>
      </c>
    </row>
    <row r="170" spans="1:7">
      <c r="A170" s="78" t="s">
        <v>204</v>
      </c>
      <c r="B170" s="125">
        <v>2.78</v>
      </c>
      <c r="C170" s="79">
        <f t="shared" si="2"/>
        <v>2.48</v>
      </c>
      <c r="D170" s="80">
        <v>0.52863309352518</v>
      </c>
      <c r="E170" s="80">
        <v>0.117179856115108</v>
      </c>
      <c r="F170" s="81">
        <v>0.188791366906475</v>
      </c>
      <c r="G170" s="81">
        <v>0.300287769784173</v>
      </c>
    </row>
    <row r="171" spans="1:7">
      <c r="A171" s="78" t="s">
        <v>205</v>
      </c>
      <c r="B171" s="125">
        <v>2.97</v>
      </c>
      <c r="C171" s="79">
        <f t="shared" si="2"/>
        <v>2.78</v>
      </c>
      <c r="D171" s="80">
        <v>0.558787878787879</v>
      </c>
      <c r="E171" s="80">
        <v>0.135272727272727</v>
      </c>
      <c r="F171" s="81">
        <v>0.20230303030303</v>
      </c>
      <c r="G171" s="81">
        <v>0.306666666666667</v>
      </c>
    </row>
    <row r="172" spans="1:7">
      <c r="A172" s="78" t="s">
        <v>206</v>
      </c>
      <c r="B172" s="125">
        <v>3.19</v>
      </c>
      <c r="C172" s="79">
        <f t="shared" si="2"/>
        <v>2.97</v>
      </c>
      <c r="D172" s="80">
        <v>0.589216300940439</v>
      </c>
      <c r="E172" s="80">
        <v>0.153529780564263</v>
      </c>
      <c r="F172" s="81">
        <v>0.215937304075235</v>
      </c>
      <c r="G172" s="81">
        <v>0.313103448275862</v>
      </c>
    </row>
    <row r="173" spans="1:7">
      <c r="A173" s="78" t="s">
        <v>207</v>
      </c>
      <c r="B173" s="125">
        <v>3.52</v>
      </c>
      <c r="C173" s="79">
        <f t="shared" si="2"/>
        <v>3.19</v>
      </c>
      <c r="D173" s="80">
        <v>0.627727272727273</v>
      </c>
      <c r="E173" s="80">
        <v>0.176636363636364</v>
      </c>
      <c r="F173" s="81">
        <v>0.233193181818182</v>
      </c>
      <c r="G173" s="81">
        <v>0.32125</v>
      </c>
    </row>
    <row r="174" spans="1:7">
      <c r="A174" s="78" t="s">
        <v>208</v>
      </c>
      <c r="B174" s="125">
        <v>3.91</v>
      </c>
      <c r="C174" s="79">
        <f t="shared" si="2"/>
        <v>3.52</v>
      </c>
      <c r="D174" s="80">
        <v>0.664859335038363</v>
      </c>
      <c r="E174" s="80">
        <v>0.198915601023018</v>
      </c>
      <c r="F174" s="81">
        <v>0.249831202046036</v>
      </c>
      <c r="G174" s="81">
        <v>0.329104859335038</v>
      </c>
    </row>
    <row r="175" spans="1:7">
      <c r="A175" s="78" t="s">
        <v>209</v>
      </c>
      <c r="B175" s="125">
        <v>4.41</v>
      </c>
      <c r="C175" s="79">
        <f t="shared" si="2"/>
        <v>3.91</v>
      </c>
      <c r="D175" s="80">
        <v>0.702857142857143</v>
      </c>
      <c r="E175" s="80">
        <v>0.221714285714286</v>
      </c>
      <c r="F175" s="81">
        <v>0.266857142857143</v>
      </c>
      <c r="G175" s="81">
        <v>0.337142857142857</v>
      </c>
    </row>
    <row r="176" spans="1:7">
      <c r="A176" s="78" t="s">
        <v>210</v>
      </c>
      <c r="B176" s="125">
        <v>4.98</v>
      </c>
      <c r="C176" s="79">
        <f t="shared" si="2"/>
        <v>4.41</v>
      </c>
      <c r="D176" s="80">
        <v>0.736867469879518</v>
      </c>
      <c r="E176" s="80">
        <v>0.242120481927711</v>
      </c>
      <c r="F176" s="81">
        <v>0.282096385542169</v>
      </c>
      <c r="G176" s="81">
        <v>0.34433734939759</v>
      </c>
    </row>
    <row r="177" spans="1:7">
      <c r="A177" s="78" t="s">
        <v>211</v>
      </c>
      <c r="B177" s="125">
        <v>5.11</v>
      </c>
      <c r="C177" s="79">
        <f t="shared" si="2"/>
        <v>4.98</v>
      </c>
      <c r="D177" s="80">
        <v>0.743561643835616</v>
      </c>
      <c r="E177" s="80">
        <v>0.24613698630137</v>
      </c>
      <c r="F177" s="81">
        <v>0.285095890410959</v>
      </c>
      <c r="G177" s="81">
        <v>0.345753424657534</v>
      </c>
    </row>
    <row r="178" spans="1:7">
      <c r="A178" s="78" t="s">
        <v>212</v>
      </c>
      <c r="B178" s="125">
        <v>5.87</v>
      </c>
      <c r="C178" s="79">
        <f t="shared" si="2"/>
        <v>5.11</v>
      </c>
      <c r="D178" s="80">
        <v>0.776763202725724</v>
      </c>
      <c r="E178" s="80">
        <v>0.266057921635434</v>
      </c>
      <c r="F178" s="81">
        <v>0.299972742759796</v>
      </c>
      <c r="G178" s="81">
        <v>0.352776831345826</v>
      </c>
    </row>
    <row r="179" spans="1:7">
      <c r="A179" s="78" t="s">
        <v>213</v>
      </c>
      <c r="B179" s="125">
        <v>6.46</v>
      </c>
      <c r="C179" s="79">
        <f t="shared" si="2"/>
        <v>5.87</v>
      </c>
      <c r="D179" s="80">
        <v>0.797151702786378</v>
      </c>
      <c r="E179" s="80">
        <v>0.278291021671827</v>
      </c>
      <c r="F179" s="81">
        <v>0.309108359133127</v>
      </c>
      <c r="G179" s="81">
        <v>0.357089783281734</v>
      </c>
    </row>
    <row r="180" spans="1:7">
      <c r="A180" s="78" t="s">
        <v>214</v>
      </c>
      <c r="B180" s="125">
        <v>7.21</v>
      </c>
      <c r="C180" s="79">
        <f t="shared" si="2"/>
        <v>6.46</v>
      </c>
      <c r="D180" s="80">
        <v>0.818252427184466</v>
      </c>
      <c r="E180" s="80">
        <v>0.29095145631068</v>
      </c>
      <c r="F180" s="81">
        <v>0.318563106796116</v>
      </c>
      <c r="G180" s="81">
        <v>0.361553398058252</v>
      </c>
    </row>
    <row r="181" spans="1:7">
      <c r="A181" s="78" t="s">
        <v>215</v>
      </c>
      <c r="B181" s="125">
        <v>8.28</v>
      </c>
      <c r="C181" s="79">
        <f t="shared" si="2"/>
        <v>7.21</v>
      </c>
      <c r="D181" s="80">
        <v>0.841739130434783</v>
      </c>
      <c r="E181" s="80">
        <v>0.30504347826087</v>
      </c>
      <c r="F181" s="81">
        <v>0.329086956521739</v>
      </c>
      <c r="G181" s="81">
        <v>0.366521739130435</v>
      </c>
    </row>
    <row r="182" spans="1:7">
      <c r="A182" s="78" t="s">
        <v>216</v>
      </c>
      <c r="B182" s="125">
        <v>10.4</v>
      </c>
      <c r="C182" s="79">
        <f t="shared" si="2"/>
        <v>8.28</v>
      </c>
      <c r="D182" s="80">
        <v>0.874</v>
      </c>
      <c r="E182" s="80">
        <v>0.3244</v>
      </c>
      <c r="F182" s="81">
        <v>0.343542307692308</v>
      </c>
      <c r="G182" s="81">
        <v>0.373346153846154</v>
      </c>
    </row>
    <row r="183" spans="1:7">
      <c r="A183" s="78" t="s">
        <v>217</v>
      </c>
      <c r="B183" s="125">
        <v>12.3</v>
      </c>
      <c r="C183" s="79">
        <f t="shared" si="2"/>
        <v>10.4</v>
      </c>
      <c r="D183" s="80">
        <v>0.893463414634146</v>
      </c>
      <c r="E183" s="80">
        <v>0.336078048780488</v>
      </c>
      <c r="F183" s="81">
        <v>0.352263414634146</v>
      </c>
      <c r="G183" s="81">
        <v>0.377463414634146</v>
      </c>
    </row>
    <row r="184" spans="1:7">
      <c r="A184" s="78" t="s">
        <v>218</v>
      </c>
      <c r="B184" s="125">
        <v>15.7</v>
      </c>
      <c r="C184" s="79">
        <f t="shared" si="2"/>
        <v>12.3</v>
      </c>
      <c r="D184" s="80">
        <v>0.916535031847134</v>
      </c>
      <c r="E184" s="80">
        <v>0.34992101910828</v>
      </c>
      <c r="F184" s="81">
        <v>0.36260127388535</v>
      </c>
      <c r="G184" s="81">
        <v>0.382343949044586</v>
      </c>
    </row>
    <row r="185" spans="1:7">
      <c r="A185" s="78" t="s">
        <v>219</v>
      </c>
      <c r="B185" s="125">
        <v>17.73</v>
      </c>
      <c r="C185" s="79">
        <f t="shared" si="2"/>
        <v>15.7</v>
      </c>
      <c r="D185" s="80">
        <v>0.926091370558376</v>
      </c>
      <c r="E185" s="80">
        <v>0.355654822335025</v>
      </c>
      <c r="F185" s="81">
        <v>0.366883248730965</v>
      </c>
      <c r="G185" s="81">
        <v>0.384365482233503</v>
      </c>
    </row>
    <row r="186" spans="1:7">
      <c r="A186" s="78" t="s">
        <v>220</v>
      </c>
      <c r="B186" s="125">
        <v>19.65</v>
      </c>
      <c r="C186" s="79">
        <f t="shared" si="2"/>
        <v>17.73</v>
      </c>
      <c r="D186" s="80">
        <v>0.933312977099237</v>
      </c>
      <c r="E186" s="80">
        <v>0.359987786259542</v>
      </c>
      <c r="F186" s="81">
        <v>0.370119083969466</v>
      </c>
      <c r="G186" s="81">
        <v>0.385893129770992</v>
      </c>
    </row>
    <row r="187" spans="1:7">
      <c r="A187" s="78" t="s">
        <v>221</v>
      </c>
      <c r="B187" s="136">
        <v>23.08</v>
      </c>
      <c r="C187" s="79">
        <f t="shared" si="2"/>
        <v>19.65</v>
      </c>
      <c r="D187" s="80">
        <v>0.943223570190641</v>
      </c>
      <c r="E187" s="80">
        <v>0.365934142114385</v>
      </c>
      <c r="F187" s="81">
        <v>0.37455979202773</v>
      </c>
      <c r="G187" s="81">
        <v>0.387989601386482</v>
      </c>
    </row>
    <row r="188" spans="1:7">
      <c r="A188" s="78" t="s">
        <v>221</v>
      </c>
      <c r="B188" s="78" t="s">
        <v>433</v>
      </c>
      <c r="C188" s="79">
        <f t="shared" si="2"/>
        <v>23.08</v>
      </c>
      <c r="D188" s="117"/>
      <c r="E188" s="83"/>
      <c r="F188" s="84"/>
      <c r="G188" s="84"/>
    </row>
    <row r="189" ht="15.75" spans="1:7">
      <c r="A189" s="78"/>
      <c r="B189" s="78"/>
      <c r="C189" s="116"/>
      <c r="D189" s="117"/>
      <c r="E189" s="85">
        <v>0.0977599586829433</v>
      </c>
      <c r="F189" s="86">
        <v>0.115604968790226</v>
      </c>
      <c r="G189" s="86">
        <v>0.162165853304408</v>
      </c>
    </row>
    <row r="190" ht="26.25" customHeight="1" spans="1:7">
      <c r="A190" s="87" t="s">
        <v>233</v>
      </c>
      <c r="B190" s="134">
        <v>0.77</v>
      </c>
      <c r="C190" s="116"/>
      <c r="D190" s="117"/>
      <c r="E190" s="119">
        <v>2.184</v>
      </c>
      <c r="F190" s="90">
        <v>1.631</v>
      </c>
      <c r="G190" s="120">
        <v>0.77</v>
      </c>
    </row>
    <row r="191" ht="26.65" customHeight="1" spans="1:7">
      <c r="A191" s="87" t="s">
        <v>224</v>
      </c>
      <c r="B191" s="93">
        <v>3.68</v>
      </c>
      <c r="C191" s="116"/>
      <c r="D191" s="83"/>
      <c r="E191" s="83"/>
      <c r="F191" s="84"/>
      <c r="G191" s="84"/>
    </row>
    <row r="192" ht="37.15" customHeight="1" spans="1:7">
      <c r="A192" s="106" t="s">
        <v>225</v>
      </c>
      <c r="B192" s="93">
        <v>2.2</v>
      </c>
      <c r="C192" s="116"/>
      <c r="D192" s="83"/>
      <c r="E192" s="93">
        <v>1.3104</v>
      </c>
      <c r="F192" s="94">
        <v>0.9786</v>
      </c>
      <c r="G192" s="94">
        <v>0.462</v>
      </c>
    </row>
    <row r="195" spans="1:3">
      <c r="A195" s="531" t="s">
        <v>226</v>
      </c>
      <c r="B195" s="95">
        <f>AVERAGE(B143:B182)</f>
        <v>2.184</v>
      </c>
      <c r="C195" s="95"/>
    </row>
    <row r="196" spans="1:3">
      <c r="A196" s="531" t="s">
        <v>227</v>
      </c>
      <c r="B196" s="96">
        <f>AVERAGE(B148:B177)</f>
        <v>1.631</v>
      </c>
      <c r="C196" s="96"/>
    </row>
    <row r="197" spans="1:3">
      <c r="A197" s="531" t="s">
        <v>228</v>
      </c>
      <c r="B197" s="96">
        <f>AVERAGE(B154:B172)</f>
        <v>1.36421052631579</v>
      </c>
      <c r="C197" s="96"/>
    </row>
    <row r="201" spans="3:3">
      <c r="C201" s="83"/>
    </row>
    <row r="202" spans="3:3">
      <c r="C202" s="83"/>
    </row>
    <row r="203" spans="3:3">
      <c r="C203" s="76"/>
    </row>
    <row r="204" spans="3:3">
      <c r="C204" s="89">
        <v>0</v>
      </c>
    </row>
    <row r="205" spans="3:3">
      <c r="C205" s="79">
        <f>B204</f>
        <v>0</v>
      </c>
    </row>
    <row r="206" spans="3:3">
      <c r="C206" s="79">
        <f t="shared" ref="C206:C254" si="3">B205</f>
        <v>0</v>
      </c>
    </row>
    <row r="207" spans="3:3">
      <c r="C207" s="79">
        <f t="shared" si="3"/>
        <v>0</v>
      </c>
    </row>
    <row r="208" spans="3:3">
      <c r="C208" s="79">
        <f t="shared" si="3"/>
        <v>0</v>
      </c>
    </row>
    <row r="209" spans="3:3">
      <c r="C209" s="79">
        <f t="shared" si="3"/>
        <v>0</v>
      </c>
    </row>
    <row r="210" spans="3:3">
      <c r="C210" s="79">
        <f t="shared" si="3"/>
        <v>0</v>
      </c>
    </row>
    <row r="211" spans="3:3">
      <c r="C211" s="79">
        <f t="shared" si="3"/>
        <v>0</v>
      </c>
    </row>
    <row r="212" spans="3:3">
      <c r="C212" s="79">
        <f t="shared" si="3"/>
        <v>0</v>
      </c>
    </row>
    <row r="213" spans="3:3">
      <c r="C213" s="79">
        <f t="shared" si="3"/>
        <v>0</v>
      </c>
    </row>
    <row r="214" spans="3:3">
      <c r="C214" s="79">
        <f t="shared" si="3"/>
        <v>0</v>
      </c>
    </row>
    <row r="215" spans="3:3">
      <c r="C215" s="79">
        <f t="shared" si="3"/>
        <v>0</v>
      </c>
    </row>
    <row r="216" spans="3:3">
      <c r="C216" s="79">
        <f t="shared" si="3"/>
        <v>0</v>
      </c>
    </row>
    <row r="217" spans="3:3">
      <c r="C217" s="79">
        <f t="shared" si="3"/>
        <v>0</v>
      </c>
    </row>
    <row r="218" spans="3:3">
      <c r="C218" s="79">
        <f t="shared" si="3"/>
        <v>0</v>
      </c>
    </row>
    <row r="219" spans="3:3">
      <c r="C219" s="79">
        <f t="shared" si="3"/>
        <v>0</v>
      </c>
    </row>
    <row r="220" spans="3:3">
      <c r="C220" s="79">
        <f t="shared" si="3"/>
        <v>0</v>
      </c>
    </row>
    <row r="221" spans="3:3">
      <c r="C221" s="79">
        <f t="shared" si="3"/>
        <v>0</v>
      </c>
    </row>
    <row r="222" spans="3:3">
      <c r="C222" s="79">
        <f t="shared" si="3"/>
        <v>0</v>
      </c>
    </row>
    <row r="223" spans="3:3">
      <c r="C223" s="79">
        <f t="shared" si="3"/>
        <v>0</v>
      </c>
    </row>
    <row r="224" spans="3:3">
      <c r="C224" s="79">
        <f t="shared" si="3"/>
        <v>0</v>
      </c>
    </row>
    <row r="225" spans="3:3">
      <c r="C225" s="79">
        <f t="shared" si="3"/>
        <v>0</v>
      </c>
    </row>
    <row r="226" spans="3:3">
      <c r="C226" s="79">
        <f t="shared" si="3"/>
        <v>0</v>
      </c>
    </row>
    <row r="227" spans="3:3">
      <c r="C227" s="79">
        <f t="shared" si="3"/>
        <v>0</v>
      </c>
    </row>
    <row r="228" spans="3:3">
      <c r="C228" s="79">
        <f t="shared" si="3"/>
        <v>0</v>
      </c>
    </row>
    <row r="229" spans="3:3">
      <c r="C229" s="79">
        <f t="shared" si="3"/>
        <v>0</v>
      </c>
    </row>
    <row r="230" spans="3:3">
      <c r="C230" s="79">
        <f t="shared" si="3"/>
        <v>0</v>
      </c>
    </row>
    <row r="231" spans="3:3">
      <c r="C231" s="79">
        <f t="shared" si="3"/>
        <v>0</v>
      </c>
    </row>
    <row r="232" spans="3:3">
      <c r="C232" s="79">
        <f t="shared" si="3"/>
        <v>0</v>
      </c>
    </row>
    <row r="233" spans="3:3">
      <c r="C233" s="79">
        <f t="shared" si="3"/>
        <v>0</v>
      </c>
    </row>
    <row r="234" spans="3:3">
      <c r="C234" s="79">
        <f t="shared" si="3"/>
        <v>0</v>
      </c>
    </row>
    <row r="235" spans="3:3">
      <c r="C235" s="79">
        <f t="shared" si="3"/>
        <v>0</v>
      </c>
    </row>
    <row r="236" spans="3:3">
      <c r="C236" s="79">
        <f t="shared" si="3"/>
        <v>0</v>
      </c>
    </row>
    <row r="237" spans="3:3">
      <c r="C237" s="79">
        <f t="shared" si="3"/>
        <v>0</v>
      </c>
    </row>
    <row r="238" spans="3:3">
      <c r="C238" s="79">
        <f t="shared" si="3"/>
        <v>0</v>
      </c>
    </row>
    <row r="239" spans="3:3">
      <c r="C239" s="79">
        <f t="shared" si="3"/>
        <v>0</v>
      </c>
    </row>
    <row r="240" spans="3:3">
      <c r="C240" s="79">
        <f t="shared" si="3"/>
        <v>0</v>
      </c>
    </row>
    <row r="241" spans="3:3">
      <c r="C241" s="79">
        <f t="shared" si="3"/>
        <v>0</v>
      </c>
    </row>
    <row r="242" spans="3:3">
      <c r="C242" s="79">
        <f t="shared" si="3"/>
        <v>0</v>
      </c>
    </row>
    <row r="243" spans="3:3">
      <c r="C243" s="79">
        <f t="shared" si="3"/>
        <v>0</v>
      </c>
    </row>
    <row r="244" spans="3:3">
      <c r="C244" s="79">
        <f t="shared" si="3"/>
        <v>0</v>
      </c>
    </row>
    <row r="245" spans="3:3">
      <c r="C245" s="79">
        <f t="shared" si="3"/>
        <v>0</v>
      </c>
    </row>
    <row r="246" spans="3:3">
      <c r="C246" s="79">
        <f t="shared" si="3"/>
        <v>0</v>
      </c>
    </row>
    <row r="247" spans="3:3">
      <c r="C247" s="79">
        <f t="shared" si="3"/>
        <v>0</v>
      </c>
    </row>
    <row r="248" spans="3:3">
      <c r="C248" s="79">
        <f t="shared" si="3"/>
        <v>0</v>
      </c>
    </row>
    <row r="249" spans="3:3">
      <c r="C249" s="79">
        <f t="shared" si="3"/>
        <v>0</v>
      </c>
    </row>
    <row r="250" spans="3:3">
      <c r="C250" s="79">
        <f t="shared" si="3"/>
        <v>0</v>
      </c>
    </row>
    <row r="251" spans="3:3">
      <c r="C251" s="79">
        <f t="shared" si="3"/>
        <v>0</v>
      </c>
    </row>
    <row r="252" spans="3:3">
      <c r="C252" s="79">
        <f t="shared" si="3"/>
        <v>0</v>
      </c>
    </row>
    <row r="253" spans="3:3">
      <c r="C253" s="79">
        <f t="shared" si="3"/>
        <v>0</v>
      </c>
    </row>
    <row r="254" spans="3:3">
      <c r="C254" s="79">
        <f t="shared" si="3"/>
        <v>0</v>
      </c>
    </row>
    <row r="255" spans="3:3">
      <c r="C255" s="78"/>
    </row>
    <row r="256" spans="3:3">
      <c r="C256" s="78"/>
    </row>
    <row r="257" spans="3:3">
      <c r="C257" s="78"/>
    </row>
    <row r="258" spans="3:3">
      <c r="C258" s="78"/>
    </row>
    <row r="261" spans="3:3">
      <c r="C261" s="95"/>
    </row>
    <row r="262" spans="3:3">
      <c r="C262" s="96"/>
    </row>
    <row r="263" spans="3:3">
      <c r="C263" s="96"/>
    </row>
    <row r="267" ht="15.75" spans="3:3">
      <c r="C267" s="130"/>
    </row>
    <row r="270" spans="3:3">
      <c r="C270">
        <v>0</v>
      </c>
    </row>
    <row r="271" spans="3:3">
      <c r="C271" s="79">
        <f>B270</f>
        <v>0</v>
      </c>
    </row>
    <row r="272" spans="3:3">
      <c r="C272" s="79">
        <f t="shared" ref="C272:C320" si="4">B271</f>
        <v>0</v>
      </c>
    </row>
    <row r="273" spans="3:3">
      <c r="C273" s="79">
        <f t="shared" si="4"/>
        <v>0</v>
      </c>
    </row>
    <row r="274" spans="3:3">
      <c r="C274" s="79">
        <f t="shared" si="4"/>
        <v>0</v>
      </c>
    </row>
    <row r="275" spans="3:3">
      <c r="C275" s="79">
        <f t="shared" si="4"/>
        <v>0</v>
      </c>
    </row>
    <row r="276" spans="3:3">
      <c r="C276" s="79">
        <f t="shared" si="4"/>
        <v>0</v>
      </c>
    </row>
    <row r="277" spans="3:3">
      <c r="C277" s="79">
        <f t="shared" si="4"/>
        <v>0</v>
      </c>
    </row>
    <row r="278" spans="3:3">
      <c r="C278" s="79">
        <f t="shared" si="4"/>
        <v>0</v>
      </c>
    </row>
    <row r="279" spans="3:3">
      <c r="C279" s="79">
        <f t="shared" si="4"/>
        <v>0</v>
      </c>
    </row>
    <row r="280" spans="3:3">
      <c r="C280" s="79">
        <f t="shared" si="4"/>
        <v>0</v>
      </c>
    </row>
    <row r="281" spans="3:3">
      <c r="C281" s="79">
        <f t="shared" si="4"/>
        <v>0</v>
      </c>
    </row>
    <row r="282" spans="3:3">
      <c r="C282" s="79">
        <f t="shared" si="4"/>
        <v>0</v>
      </c>
    </row>
    <row r="283" spans="3:3">
      <c r="C283" s="79">
        <f t="shared" si="4"/>
        <v>0</v>
      </c>
    </row>
    <row r="284" spans="3:3">
      <c r="C284" s="79">
        <f t="shared" si="4"/>
        <v>0</v>
      </c>
    </row>
    <row r="285" spans="3:3">
      <c r="C285" s="79">
        <f t="shared" si="4"/>
        <v>0</v>
      </c>
    </row>
    <row r="286" spans="3:3">
      <c r="C286" s="79">
        <f t="shared" si="4"/>
        <v>0</v>
      </c>
    </row>
    <row r="287" spans="3:3">
      <c r="C287" s="79">
        <f t="shared" si="4"/>
        <v>0</v>
      </c>
    </row>
    <row r="288" spans="3:3">
      <c r="C288" s="79">
        <f t="shared" si="4"/>
        <v>0</v>
      </c>
    </row>
    <row r="289" spans="3:3">
      <c r="C289" s="79">
        <f t="shared" si="4"/>
        <v>0</v>
      </c>
    </row>
    <row r="290" spans="3:3">
      <c r="C290" s="79">
        <f t="shared" si="4"/>
        <v>0</v>
      </c>
    </row>
    <row r="291" spans="3:3">
      <c r="C291" s="79">
        <f t="shared" si="4"/>
        <v>0</v>
      </c>
    </row>
    <row r="292" spans="3:3">
      <c r="C292" s="79">
        <f t="shared" si="4"/>
        <v>0</v>
      </c>
    </row>
    <row r="293" spans="3:3">
      <c r="C293" s="79">
        <f t="shared" si="4"/>
        <v>0</v>
      </c>
    </row>
    <row r="294" spans="3:3">
      <c r="C294" s="79">
        <f t="shared" si="4"/>
        <v>0</v>
      </c>
    </row>
    <row r="295" spans="3:3">
      <c r="C295" s="79">
        <f t="shared" si="4"/>
        <v>0</v>
      </c>
    </row>
    <row r="296" spans="3:3">
      <c r="C296" s="79">
        <f t="shared" si="4"/>
        <v>0</v>
      </c>
    </row>
    <row r="297" spans="3:3">
      <c r="C297" s="79">
        <f t="shared" si="4"/>
        <v>0</v>
      </c>
    </row>
    <row r="298" spans="3:3">
      <c r="C298" s="79">
        <f t="shared" si="4"/>
        <v>0</v>
      </c>
    </row>
    <row r="299" spans="3:3">
      <c r="C299" s="79">
        <f t="shared" si="4"/>
        <v>0</v>
      </c>
    </row>
    <row r="300" spans="3:3">
      <c r="C300" s="79">
        <f t="shared" si="4"/>
        <v>0</v>
      </c>
    </row>
    <row r="301" spans="3:3">
      <c r="C301" s="79">
        <f t="shared" si="4"/>
        <v>0</v>
      </c>
    </row>
    <row r="302" spans="3:3">
      <c r="C302" s="79">
        <f t="shared" si="4"/>
        <v>0</v>
      </c>
    </row>
    <row r="303" spans="3:3">
      <c r="C303" s="79">
        <f t="shared" si="4"/>
        <v>0</v>
      </c>
    </row>
    <row r="304" spans="3:3">
      <c r="C304" s="79">
        <f t="shared" si="4"/>
        <v>0</v>
      </c>
    </row>
    <row r="305" spans="3:3">
      <c r="C305" s="79">
        <f t="shared" si="4"/>
        <v>0</v>
      </c>
    </row>
    <row r="306" spans="3:3">
      <c r="C306" s="79">
        <f t="shared" si="4"/>
        <v>0</v>
      </c>
    </row>
    <row r="307" spans="3:3">
      <c r="C307" s="79">
        <f t="shared" si="4"/>
        <v>0</v>
      </c>
    </row>
    <row r="308" spans="3:3">
      <c r="C308" s="79">
        <f t="shared" si="4"/>
        <v>0</v>
      </c>
    </row>
    <row r="309" spans="3:3">
      <c r="C309" s="79">
        <f t="shared" si="4"/>
        <v>0</v>
      </c>
    </row>
    <row r="310" spans="3:3">
      <c r="C310" s="79">
        <f t="shared" si="4"/>
        <v>0</v>
      </c>
    </row>
    <row r="311" spans="3:3">
      <c r="C311" s="79">
        <f t="shared" si="4"/>
        <v>0</v>
      </c>
    </row>
    <row r="312" spans="3:3">
      <c r="C312" s="79">
        <f t="shared" si="4"/>
        <v>0</v>
      </c>
    </row>
    <row r="313" spans="3:3">
      <c r="C313" s="79">
        <f t="shared" si="4"/>
        <v>0</v>
      </c>
    </row>
    <row r="314" spans="3:3">
      <c r="C314" s="79">
        <f t="shared" si="4"/>
        <v>0</v>
      </c>
    </row>
    <row r="315" spans="3:3">
      <c r="C315" s="79">
        <f t="shared" si="4"/>
        <v>0</v>
      </c>
    </row>
    <row r="316" spans="3:3">
      <c r="C316" s="79">
        <f t="shared" si="4"/>
        <v>0</v>
      </c>
    </row>
    <row r="317" spans="3:3">
      <c r="C317" s="79">
        <f t="shared" si="4"/>
        <v>0</v>
      </c>
    </row>
    <row r="318" spans="3:3">
      <c r="C318" s="79">
        <f t="shared" si="4"/>
        <v>0</v>
      </c>
    </row>
    <row r="319" spans="3:3">
      <c r="C319" s="79">
        <f t="shared" si="4"/>
        <v>0</v>
      </c>
    </row>
    <row r="320" spans="3:3">
      <c r="C320" s="79">
        <f t="shared" si="4"/>
        <v>0</v>
      </c>
    </row>
    <row r="336" ht="15.75" spans="3:3">
      <c r="C336" s="131"/>
    </row>
    <row r="337" spans="3:3">
      <c r="C337">
        <v>0</v>
      </c>
    </row>
    <row r="338" spans="3:3">
      <c r="C338" s="79">
        <f>B337</f>
        <v>0</v>
      </c>
    </row>
    <row r="339" spans="3:3">
      <c r="C339" s="79">
        <f t="shared" ref="C339:C387" si="5">B338</f>
        <v>0</v>
      </c>
    </row>
    <row r="340" spans="3:3">
      <c r="C340" s="79">
        <f t="shared" si="5"/>
        <v>0</v>
      </c>
    </row>
    <row r="341" spans="3:3">
      <c r="C341" s="79">
        <f t="shared" si="5"/>
        <v>0</v>
      </c>
    </row>
    <row r="342" spans="3:3">
      <c r="C342" s="79">
        <f t="shared" si="5"/>
        <v>0</v>
      </c>
    </row>
    <row r="343" spans="3:3">
      <c r="C343" s="79">
        <f t="shared" si="5"/>
        <v>0</v>
      </c>
    </row>
    <row r="344" spans="3:3">
      <c r="C344" s="79">
        <f t="shared" si="5"/>
        <v>0</v>
      </c>
    </row>
    <row r="345" spans="3:3">
      <c r="C345" s="79">
        <f t="shared" si="5"/>
        <v>0</v>
      </c>
    </row>
    <row r="346" spans="3:3">
      <c r="C346" s="79">
        <f t="shared" si="5"/>
        <v>0</v>
      </c>
    </row>
    <row r="347" spans="3:3">
      <c r="C347" s="79">
        <f t="shared" si="5"/>
        <v>0</v>
      </c>
    </row>
    <row r="348" spans="3:3">
      <c r="C348" s="79">
        <f t="shared" si="5"/>
        <v>0</v>
      </c>
    </row>
    <row r="349" spans="3:3">
      <c r="C349" s="79">
        <f t="shared" si="5"/>
        <v>0</v>
      </c>
    </row>
    <row r="350" spans="3:3">
      <c r="C350" s="79">
        <f t="shared" si="5"/>
        <v>0</v>
      </c>
    </row>
    <row r="351" spans="3:3">
      <c r="C351" s="79">
        <f t="shared" si="5"/>
        <v>0</v>
      </c>
    </row>
    <row r="352" spans="3:3">
      <c r="C352" s="79">
        <f t="shared" si="5"/>
        <v>0</v>
      </c>
    </row>
    <row r="353" spans="3:3">
      <c r="C353" s="79">
        <f t="shared" si="5"/>
        <v>0</v>
      </c>
    </row>
    <row r="354" spans="3:3">
      <c r="C354" s="79">
        <f t="shared" si="5"/>
        <v>0</v>
      </c>
    </row>
    <row r="355" spans="3:3">
      <c r="C355" s="79">
        <f t="shared" si="5"/>
        <v>0</v>
      </c>
    </row>
    <row r="356" spans="3:3">
      <c r="C356" s="79">
        <f t="shared" si="5"/>
        <v>0</v>
      </c>
    </row>
    <row r="357" spans="3:3">
      <c r="C357" s="79">
        <f t="shared" si="5"/>
        <v>0</v>
      </c>
    </row>
    <row r="358" spans="3:3">
      <c r="C358" s="79">
        <f t="shared" si="5"/>
        <v>0</v>
      </c>
    </row>
    <row r="359" spans="3:3">
      <c r="C359" s="79">
        <f t="shared" si="5"/>
        <v>0</v>
      </c>
    </row>
    <row r="360" spans="3:3">
      <c r="C360" s="79">
        <f t="shared" si="5"/>
        <v>0</v>
      </c>
    </row>
    <row r="361" spans="3:3">
      <c r="C361" s="79">
        <f t="shared" si="5"/>
        <v>0</v>
      </c>
    </row>
    <row r="362" spans="3:3">
      <c r="C362" s="79">
        <f t="shared" si="5"/>
        <v>0</v>
      </c>
    </row>
    <row r="363" spans="3:3">
      <c r="C363" s="79">
        <f t="shared" si="5"/>
        <v>0</v>
      </c>
    </row>
    <row r="364" spans="3:3">
      <c r="C364" s="79">
        <f t="shared" si="5"/>
        <v>0</v>
      </c>
    </row>
    <row r="365" spans="3:3">
      <c r="C365" s="79">
        <f t="shared" si="5"/>
        <v>0</v>
      </c>
    </row>
    <row r="366" spans="3:3">
      <c r="C366" s="79">
        <f t="shared" si="5"/>
        <v>0</v>
      </c>
    </row>
    <row r="367" spans="3:3">
      <c r="C367" s="79">
        <f t="shared" si="5"/>
        <v>0</v>
      </c>
    </row>
    <row r="368" spans="3:3">
      <c r="C368" s="79">
        <f t="shared" si="5"/>
        <v>0</v>
      </c>
    </row>
    <row r="369" spans="3:3">
      <c r="C369" s="79">
        <f t="shared" si="5"/>
        <v>0</v>
      </c>
    </row>
    <row r="370" spans="3:3">
      <c r="C370" s="79">
        <f t="shared" si="5"/>
        <v>0</v>
      </c>
    </row>
    <row r="371" spans="3:3">
      <c r="C371" s="79">
        <f t="shared" si="5"/>
        <v>0</v>
      </c>
    </row>
    <row r="372" spans="3:3">
      <c r="C372" s="79">
        <f t="shared" si="5"/>
        <v>0</v>
      </c>
    </row>
    <row r="373" spans="3:3">
      <c r="C373" s="79">
        <f t="shared" si="5"/>
        <v>0</v>
      </c>
    </row>
    <row r="374" spans="3:3">
      <c r="C374" s="79">
        <f t="shared" si="5"/>
        <v>0</v>
      </c>
    </row>
    <row r="375" spans="3:3">
      <c r="C375" s="79">
        <f t="shared" si="5"/>
        <v>0</v>
      </c>
    </row>
    <row r="376" spans="3:3">
      <c r="C376" s="79">
        <f t="shared" si="5"/>
        <v>0</v>
      </c>
    </row>
    <row r="377" spans="3:3">
      <c r="C377" s="79">
        <f t="shared" si="5"/>
        <v>0</v>
      </c>
    </row>
    <row r="378" spans="3:3">
      <c r="C378" s="79">
        <f t="shared" si="5"/>
        <v>0</v>
      </c>
    </row>
    <row r="379" spans="3:3">
      <c r="C379" s="79">
        <f t="shared" si="5"/>
        <v>0</v>
      </c>
    </row>
    <row r="380" spans="3:3">
      <c r="C380" s="79">
        <f t="shared" si="5"/>
        <v>0</v>
      </c>
    </row>
    <row r="381" spans="3:3">
      <c r="C381" s="79">
        <f t="shared" si="5"/>
        <v>0</v>
      </c>
    </row>
    <row r="382" spans="3:3">
      <c r="C382" s="79">
        <f t="shared" si="5"/>
        <v>0</v>
      </c>
    </row>
    <row r="383" spans="3:3">
      <c r="C383" s="79">
        <f t="shared" si="5"/>
        <v>0</v>
      </c>
    </row>
    <row r="384" spans="3:3">
      <c r="C384" s="79">
        <f t="shared" si="5"/>
        <v>0</v>
      </c>
    </row>
    <row r="385" spans="3:3">
      <c r="C385" s="79">
        <f t="shared" si="5"/>
        <v>0</v>
      </c>
    </row>
    <row r="386" spans="3:3">
      <c r="C386" s="79">
        <f t="shared" si="5"/>
        <v>0</v>
      </c>
    </row>
    <row r="387" spans="3:3">
      <c r="C387" s="79">
        <f t="shared" si="5"/>
        <v>0</v>
      </c>
    </row>
    <row r="402" spans="3:3">
      <c r="C402">
        <v>0</v>
      </c>
    </row>
    <row r="403" spans="3:3">
      <c r="C403" s="79">
        <f>B402</f>
        <v>0</v>
      </c>
    </row>
    <row r="404" spans="3:3">
      <c r="C404" s="79">
        <f t="shared" ref="C404:C452" si="6">B403</f>
        <v>0</v>
      </c>
    </row>
    <row r="405" spans="3:3">
      <c r="C405" s="79">
        <f t="shared" si="6"/>
        <v>0</v>
      </c>
    </row>
    <row r="406" spans="3:3">
      <c r="C406" s="79">
        <f t="shared" si="6"/>
        <v>0</v>
      </c>
    </row>
    <row r="407" spans="3:3">
      <c r="C407" s="79">
        <f t="shared" si="6"/>
        <v>0</v>
      </c>
    </row>
    <row r="408" spans="3:3">
      <c r="C408" s="79">
        <f t="shared" si="6"/>
        <v>0</v>
      </c>
    </row>
    <row r="409" spans="3:3">
      <c r="C409" s="79">
        <f t="shared" si="6"/>
        <v>0</v>
      </c>
    </row>
    <row r="410" spans="3:3">
      <c r="C410" s="79">
        <f t="shared" si="6"/>
        <v>0</v>
      </c>
    </row>
    <row r="411" spans="3:3">
      <c r="C411" s="79">
        <f t="shared" si="6"/>
        <v>0</v>
      </c>
    </row>
    <row r="412" spans="3:3">
      <c r="C412" s="79">
        <f t="shared" si="6"/>
        <v>0</v>
      </c>
    </row>
    <row r="413" spans="3:3">
      <c r="C413" s="79">
        <f t="shared" si="6"/>
        <v>0</v>
      </c>
    </row>
    <row r="414" spans="3:3">
      <c r="C414" s="79">
        <f t="shared" si="6"/>
        <v>0</v>
      </c>
    </row>
    <row r="415" spans="3:3">
      <c r="C415" s="79">
        <f t="shared" si="6"/>
        <v>0</v>
      </c>
    </row>
    <row r="416" spans="3:3">
      <c r="C416" s="79">
        <f t="shared" si="6"/>
        <v>0</v>
      </c>
    </row>
    <row r="417" spans="3:3">
      <c r="C417" s="79">
        <f t="shared" si="6"/>
        <v>0</v>
      </c>
    </row>
    <row r="418" spans="3:3">
      <c r="C418" s="79">
        <f t="shared" si="6"/>
        <v>0</v>
      </c>
    </row>
    <row r="419" spans="3:3">
      <c r="C419" s="79">
        <f t="shared" si="6"/>
        <v>0</v>
      </c>
    </row>
    <row r="420" spans="3:3">
      <c r="C420" s="79">
        <f t="shared" si="6"/>
        <v>0</v>
      </c>
    </row>
    <row r="421" spans="3:3">
      <c r="C421" s="79">
        <f t="shared" si="6"/>
        <v>0</v>
      </c>
    </row>
    <row r="422" spans="3:3">
      <c r="C422" s="79">
        <f t="shared" si="6"/>
        <v>0</v>
      </c>
    </row>
    <row r="423" spans="3:3">
      <c r="C423" s="79">
        <f t="shared" si="6"/>
        <v>0</v>
      </c>
    </row>
    <row r="424" spans="3:3">
      <c r="C424" s="79">
        <f t="shared" si="6"/>
        <v>0</v>
      </c>
    </row>
    <row r="425" spans="3:3">
      <c r="C425" s="79">
        <f t="shared" si="6"/>
        <v>0</v>
      </c>
    </row>
    <row r="426" spans="3:3">
      <c r="C426" s="79">
        <f t="shared" si="6"/>
        <v>0</v>
      </c>
    </row>
    <row r="427" spans="3:3">
      <c r="C427" s="79">
        <f t="shared" si="6"/>
        <v>0</v>
      </c>
    </row>
    <row r="428" spans="3:3">
      <c r="C428" s="79">
        <f t="shared" si="6"/>
        <v>0</v>
      </c>
    </row>
    <row r="429" spans="3:3">
      <c r="C429" s="79">
        <f t="shared" si="6"/>
        <v>0</v>
      </c>
    </row>
    <row r="430" spans="3:3">
      <c r="C430" s="79">
        <f t="shared" si="6"/>
        <v>0</v>
      </c>
    </row>
    <row r="431" spans="3:3">
      <c r="C431" s="79">
        <f t="shared" si="6"/>
        <v>0</v>
      </c>
    </row>
    <row r="432" spans="3:3">
      <c r="C432" s="79">
        <f t="shared" si="6"/>
        <v>0</v>
      </c>
    </row>
    <row r="433" spans="3:3">
      <c r="C433" s="79">
        <f t="shared" si="6"/>
        <v>0</v>
      </c>
    </row>
    <row r="434" spans="3:3">
      <c r="C434" s="79">
        <f t="shared" si="6"/>
        <v>0</v>
      </c>
    </row>
    <row r="435" spans="3:3">
      <c r="C435" s="79">
        <f t="shared" si="6"/>
        <v>0</v>
      </c>
    </row>
    <row r="436" spans="3:3">
      <c r="C436" s="79">
        <f t="shared" si="6"/>
        <v>0</v>
      </c>
    </row>
    <row r="437" spans="3:3">
      <c r="C437" s="79">
        <f t="shared" si="6"/>
        <v>0</v>
      </c>
    </row>
    <row r="438" spans="3:3">
      <c r="C438" s="79">
        <f t="shared" si="6"/>
        <v>0</v>
      </c>
    </row>
    <row r="439" spans="3:3">
      <c r="C439" s="79">
        <f t="shared" si="6"/>
        <v>0</v>
      </c>
    </row>
    <row r="440" spans="3:3">
      <c r="C440" s="79">
        <f t="shared" si="6"/>
        <v>0</v>
      </c>
    </row>
    <row r="441" spans="3:3">
      <c r="C441" s="79">
        <f t="shared" si="6"/>
        <v>0</v>
      </c>
    </row>
    <row r="442" spans="3:3">
      <c r="C442" s="79">
        <f t="shared" si="6"/>
        <v>0</v>
      </c>
    </row>
    <row r="443" spans="3:3">
      <c r="C443" s="79">
        <f t="shared" si="6"/>
        <v>0</v>
      </c>
    </row>
    <row r="444" spans="3:3">
      <c r="C444" s="79">
        <f t="shared" si="6"/>
        <v>0</v>
      </c>
    </row>
    <row r="445" spans="3:3">
      <c r="C445" s="79">
        <f t="shared" si="6"/>
        <v>0</v>
      </c>
    </row>
    <row r="446" spans="3:3">
      <c r="C446" s="79">
        <f t="shared" si="6"/>
        <v>0</v>
      </c>
    </row>
    <row r="447" spans="3:3">
      <c r="C447" s="79">
        <f t="shared" si="6"/>
        <v>0</v>
      </c>
    </row>
    <row r="448" spans="3:3">
      <c r="C448" s="79">
        <f t="shared" si="6"/>
        <v>0</v>
      </c>
    </row>
    <row r="449" spans="3:3">
      <c r="C449" s="79">
        <f t="shared" si="6"/>
        <v>0</v>
      </c>
    </row>
    <row r="450" spans="3:3">
      <c r="C450" s="79">
        <f t="shared" si="6"/>
        <v>0</v>
      </c>
    </row>
    <row r="451" spans="3:3">
      <c r="C451" s="79">
        <f t="shared" si="6"/>
        <v>0</v>
      </c>
    </row>
    <row r="452" spans="3:3">
      <c r="C452" s="79">
        <f t="shared" si="6"/>
        <v>0</v>
      </c>
    </row>
  </sheetData>
  <mergeCells count="6">
    <mergeCell ref="B2:D2"/>
    <mergeCell ref="B69:D69"/>
    <mergeCell ref="B134:D134"/>
    <mergeCell ref="A2:A4"/>
    <mergeCell ref="A69:A71"/>
    <mergeCell ref="A134:A136"/>
  </mergeCells>
  <pageMargins left="0.7" right="0.7" top="0.75" bottom="0.75" header="0.3" footer="0.3"/>
  <pageSetup paperSize="9" orientation="portrait"/>
  <headerFooter/>
  <legacy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Лист23"/>
  <dimension ref="A1:G452"/>
  <sheetViews>
    <sheetView topLeftCell="A277" workbookViewId="0">
      <selection activeCell="E228" sqref="E228"/>
    </sheetView>
  </sheetViews>
  <sheetFormatPr defaultColWidth="8.72380952380952" defaultRowHeight="15" outlineLevelCol="6"/>
  <cols>
    <col min="1" max="1" width="19.7238095238095" customWidth="1"/>
    <col min="2" max="2" width="17.1809523809524" customWidth="1"/>
    <col min="3" max="3" width="9.18095238095238"/>
    <col min="4" max="4" width="16.1809523809524" customWidth="1"/>
    <col min="5" max="5" width="15" customWidth="1"/>
    <col min="6" max="6" width="16.4571428571429" style="64" customWidth="1"/>
    <col min="7" max="7" width="17.1809523809524" style="64" customWidth="1"/>
  </cols>
  <sheetData>
    <row r="1" ht="15.75" spans="4:5">
      <c r="D1" s="65">
        <v>0.1</v>
      </c>
      <c r="E1" s="65">
        <v>0.4</v>
      </c>
    </row>
    <row r="2" ht="23.25" customHeight="1" spans="1:7">
      <c r="A2" s="66" t="s">
        <v>165</v>
      </c>
      <c r="B2" s="67" t="s">
        <v>166</v>
      </c>
      <c r="C2" s="68"/>
      <c r="D2" s="69"/>
      <c r="E2" s="70">
        <f>(1-E57)^(1/3)-1</f>
        <v>-0.0285872602027452</v>
      </c>
      <c r="F2" s="70">
        <f>(1-F57)^(1/3)-1</f>
        <v>-0.0313372162404599</v>
      </c>
      <c r="G2" s="70"/>
    </row>
    <row r="3" ht="47.25" customHeight="1" spans="1:7">
      <c r="A3" s="71"/>
      <c r="B3" s="72" t="s">
        <v>167</v>
      </c>
      <c r="C3" s="72"/>
      <c r="D3" s="72" t="s">
        <v>168</v>
      </c>
      <c r="E3" s="72" t="s">
        <v>169</v>
      </c>
      <c r="F3" s="73" t="s">
        <v>169</v>
      </c>
      <c r="G3" s="73"/>
    </row>
    <row r="4" ht="16.15" customHeight="1" spans="1:7">
      <c r="A4" s="74"/>
      <c r="B4" s="72" t="s">
        <v>170</v>
      </c>
      <c r="C4" s="72"/>
      <c r="D4" s="72" t="s">
        <v>171</v>
      </c>
      <c r="E4" s="72" t="s">
        <v>171</v>
      </c>
      <c r="F4" s="73" t="s">
        <v>171</v>
      </c>
      <c r="G4" s="73"/>
    </row>
    <row r="5" spans="1:7">
      <c r="A5" s="75">
        <v>1</v>
      </c>
      <c r="B5" s="76">
        <v>2</v>
      </c>
      <c r="C5" s="76"/>
      <c r="D5" s="76">
        <v>3</v>
      </c>
      <c r="E5" s="76">
        <v>4</v>
      </c>
      <c r="F5" s="77">
        <v>5</v>
      </c>
      <c r="G5" s="77"/>
    </row>
    <row r="6" spans="1:7">
      <c r="A6" s="530" t="s">
        <v>172</v>
      </c>
      <c r="B6" s="79">
        <v>6.14</v>
      </c>
      <c r="C6" s="79">
        <v>0</v>
      </c>
      <c r="D6" s="80">
        <v>0</v>
      </c>
      <c r="E6" s="80">
        <v>0</v>
      </c>
      <c r="F6" s="81">
        <v>0</v>
      </c>
      <c r="G6" s="81">
        <v>0.0022801302931596</v>
      </c>
    </row>
    <row r="7" spans="1:7">
      <c r="A7" s="530" t="s">
        <v>173</v>
      </c>
      <c r="B7" s="79">
        <v>6.93</v>
      </c>
      <c r="C7" s="79">
        <f>B6</f>
        <v>6.14</v>
      </c>
      <c r="D7" s="80">
        <v>0</v>
      </c>
      <c r="E7" s="80">
        <v>0</v>
      </c>
      <c r="F7" s="81">
        <v>0</v>
      </c>
      <c r="G7" s="81">
        <v>0.0134199134199134</v>
      </c>
    </row>
    <row r="8" spans="1:7">
      <c r="A8" s="530" t="s">
        <v>174</v>
      </c>
      <c r="B8" s="79">
        <v>7.56</v>
      </c>
      <c r="C8" s="79">
        <f t="shared" ref="C8:C56" si="0">B7</f>
        <v>6.93</v>
      </c>
      <c r="D8" s="80">
        <v>0</v>
      </c>
      <c r="E8" s="80">
        <v>0</v>
      </c>
      <c r="F8" s="81">
        <v>0</v>
      </c>
      <c r="G8" s="81">
        <v>0.0206349206349206</v>
      </c>
    </row>
    <row r="9" spans="1:7">
      <c r="A9" s="530" t="s">
        <v>175</v>
      </c>
      <c r="B9" s="79">
        <v>8.33</v>
      </c>
      <c r="C9" s="79">
        <f t="shared" si="0"/>
        <v>7.56</v>
      </c>
      <c r="D9" s="80">
        <v>0</v>
      </c>
      <c r="E9" s="80">
        <v>0</v>
      </c>
      <c r="F9" s="81">
        <v>0</v>
      </c>
      <c r="G9" s="81">
        <v>0.0279711884753902</v>
      </c>
    </row>
    <row r="10" spans="1:7">
      <c r="A10" s="530" t="s">
        <v>176</v>
      </c>
      <c r="B10" s="79">
        <v>8.82</v>
      </c>
      <c r="C10" s="79">
        <f t="shared" si="0"/>
        <v>8.33</v>
      </c>
      <c r="D10" s="80">
        <v>0</v>
      </c>
      <c r="E10" s="80">
        <v>0</v>
      </c>
      <c r="F10" s="81">
        <v>0</v>
      </c>
      <c r="G10" s="81">
        <v>0.0319727891156463</v>
      </c>
    </row>
    <row r="11" spans="1:7">
      <c r="A11" s="530" t="s">
        <v>177</v>
      </c>
      <c r="B11" s="79">
        <v>9.67</v>
      </c>
      <c r="C11" s="79">
        <f t="shared" si="0"/>
        <v>8.82</v>
      </c>
      <c r="D11" s="80">
        <v>0</v>
      </c>
      <c r="E11" s="80">
        <v>0</v>
      </c>
      <c r="F11" s="81">
        <v>0</v>
      </c>
      <c r="G11" s="81">
        <v>0.037952430196484</v>
      </c>
    </row>
    <row r="12" spans="1:7">
      <c r="A12" s="530" t="s">
        <v>178</v>
      </c>
      <c r="B12" s="79">
        <v>10.41</v>
      </c>
      <c r="C12" s="79">
        <f t="shared" si="0"/>
        <v>9.67</v>
      </c>
      <c r="D12" s="80">
        <v>0</v>
      </c>
      <c r="E12" s="80">
        <v>0</v>
      </c>
      <c r="F12" s="81">
        <v>0</v>
      </c>
      <c r="G12" s="81">
        <v>0.054178674351585</v>
      </c>
    </row>
    <row r="13" spans="1:7">
      <c r="A13" s="78" t="s">
        <v>179</v>
      </c>
      <c r="B13" s="79">
        <v>11</v>
      </c>
      <c r="C13" s="79">
        <f t="shared" si="0"/>
        <v>10.41</v>
      </c>
      <c r="D13" s="80">
        <v>0</v>
      </c>
      <c r="E13" s="80">
        <v>0</v>
      </c>
      <c r="F13" s="81">
        <v>0</v>
      </c>
      <c r="G13" s="81">
        <v>0.0727272727272727</v>
      </c>
    </row>
    <row r="14" spans="1:7">
      <c r="A14" s="78" t="s">
        <v>180</v>
      </c>
      <c r="B14" s="79">
        <v>11.78</v>
      </c>
      <c r="C14" s="79">
        <f t="shared" si="0"/>
        <v>11</v>
      </c>
      <c r="D14" s="80">
        <v>0</v>
      </c>
      <c r="E14" s="80">
        <v>0</v>
      </c>
      <c r="F14" s="81">
        <v>0</v>
      </c>
      <c r="G14" s="81">
        <v>0.0943972835314091</v>
      </c>
    </row>
    <row r="15" spans="1:7">
      <c r="A15" s="78" t="s">
        <v>181</v>
      </c>
      <c r="B15" s="79">
        <v>12.38</v>
      </c>
      <c r="C15" s="79">
        <f t="shared" si="0"/>
        <v>11.78</v>
      </c>
      <c r="D15" s="80">
        <v>0</v>
      </c>
      <c r="E15" s="80">
        <v>0</v>
      </c>
      <c r="F15" s="81">
        <v>0</v>
      </c>
      <c r="G15" s="81">
        <v>0.109208400646204</v>
      </c>
    </row>
    <row r="16" spans="1:7">
      <c r="A16" s="78" t="s">
        <v>182</v>
      </c>
      <c r="B16" s="79">
        <v>12.88</v>
      </c>
      <c r="C16" s="79">
        <f t="shared" si="0"/>
        <v>12.38</v>
      </c>
      <c r="D16" s="80">
        <v>0</v>
      </c>
      <c r="E16" s="80">
        <v>0</v>
      </c>
      <c r="F16" s="81">
        <v>0</v>
      </c>
      <c r="G16" s="81">
        <v>0.120496894409938</v>
      </c>
    </row>
    <row r="17" spans="1:7">
      <c r="A17" s="78" t="s">
        <v>183</v>
      </c>
      <c r="B17" s="79">
        <v>13.57</v>
      </c>
      <c r="C17" s="79">
        <f t="shared" si="0"/>
        <v>12.88</v>
      </c>
      <c r="D17" s="80">
        <v>0</v>
      </c>
      <c r="E17" s="80">
        <v>0</v>
      </c>
      <c r="F17" s="81">
        <v>0</v>
      </c>
      <c r="G17" s="81">
        <v>0.134708916728077</v>
      </c>
    </row>
    <row r="18" spans="1:7">
      <c r="A18" s="78" t="s">
        <v>184</v>
      </c>
      <c r="B18" s="79">
        <v>14.55</v>
      </c>
      <c r="C18" s="79">
        <f t="shared" si="0"/>
        <v>13.57</v>
      </c>
      <c r="D18" s="80">
        <v>0</v>
      </c>
      <c r="E18" s="80">
        <v>0</v>
      </c>
      <c r="F18" s="81">
        <v>0</v>
      </c>
      <c r="G18" s="81">
        <v>0.152577319587629</v>
      </c>
    </row>
    <row r="19" spans="1:7">
      <c r="A19" s="78" t="s">
        <v>185</v>
      </c>
      <c r="B19" s="79">
        <v>15.25</v>
      </c>
      <c r="C19" s="79">
        <f t="shared" si="0"/>
        <v>14.55</v>
      </c>
      <c r="D19" s="80">
        <v>0</v>
      </c>
      <c r="E19" s="80">
        <v>0</v>
      </c>
      <c r="F19" s="81">
        <v>0</v>
      </c>
      <c r="G19" s="81">
        <v>0.163934426229508</v>
      </c>
    </row>
    <row r="20" spans="1:7">
      <c r="A20" s="78" t="s">
        <v>186</v>
      </c>
      <c r="B20" s="79">
        <v>16.21</v>
      </c>
      <c r="C20" s="79">
        <f t="shared" si="0"/>
        <v>15.25</v>
      </c>
      <c r="D20" s="80">
        <v>0</v>
      </c>
      <c r="E20" s="80">
        <v>0</v>
      </c>
      <c r="F20" s="81">
        <v>0</v>
      </c>
      <c r="G20" s="81">
        <v>0.177914867365824</v>
      </c>
    </row>
    <row r="21" spans="1:7">
      <c r="A21" s="78" t="s">
        <v>187</v>
      </c>
      <c r="B21" s="79">
        <v>17.06</v>
      </c>
      <c r="C21" s="79">
        <f t="shared" si="0"/>
        <v>16.21</v>
      </c>
      <c r="D21" s="80">
        <v>0</v>
      </c>
      <c r="E21" s="80">
        <v>0</v>
      </c>
      <c r="F21" s="81">
        <v>0.000439624853458378</v>
      </c>
      <c r="G21" s="81">
        <v>0.188980070339977</v>
      </c>
    </row>
    <row r="22" spans="1:7">
      <c r="A22" s="78" t="s">
        <v>188</v>
      </c>
      <c r="B22" s="79">
        <v>17.76</v>
      </c>
      <c r="C22" s="79">
        <f t="shared" si="0"/>
        <v>17.06</v>
      </c>
      <c r="D22" s="80">
        <v>0</v>
      </c>
      <c r="E22" s="80">
        <v>0</v>
      </c>
      <c r="F22" s="81">
        <v>0.00436373873873875</v>
      </c>
      <c r="G22" s="81">
        <v>0.197297297297297</v>
      </c>
    </row>
    <row r="23" spans="1:7">
      <c r="A23" s="78" t="s">
        <v>189</v>
      </c>
      <c r="B23" s="79">
        <v>18.88</v>
      </c>
      <c r="C23" s="79">
        <f t="shared" si="0"/>
        <v>17.76</v>
      </c>
      <c r="D23" s="80">
        <v>0.0381647245762713</v>
      </c>
      <c r="E23" s="80"/>
      <c r="F23" s="81">
        <v>0.0100370762711864</v>
      </c>
      <c r="G23" s="81">
        <v>0.209322033898305</v>
      </c>
    </row>
    <row r="24" spans="1:7">
      <c r="A24" s="78" t="s">
        <v>190</v>
      </c>
      <c r="B24" s="79">
        <v>19.77</v>
      </c>
      <c r="C24" s="79">
        <f t="shared" si="0"/>
        <v>18.88</v>
      </c>
      <c r="D24" s="80">
        <v>0.0814643399089531</v>
      </c>
      <c r="E24" s="80"/>
      <c r="F24" s="81">
        <v>0.0140870005058169</v>
      </c>
      <c r="G24" s="81">
        <v>0.217905918057663</v>
      </c>
    </row>
    <row r="25" spans="1:7">
      <c r="A25" s="78" t="s">
        <v>191</v>
      </c>
      <c r="B25" s="79">
        <v>20.61</v>
      </c>
      <c r="C25" s="79">
        <f t="shared" si="0"/>
        <v>19.77</v>
      </c>
      <c r="D25" s="80">
        <v>0.118901018922853</v>
      </c>
      <c r="E25" s="80">
        <v>0.0118901018922853</v>
      </c>
      <c r="F25" s="81">
        <v>0.0175885492479379</v>
      </c>
      <c r="G25" s="81">
        <v>0.225327510917031</v>
      </c>
    </row>
    <row r="26" spans="1:7">
      <c r="A26" s="78" t="s">
        <v>192</v>
      </c>
      <c r="B26" s="79">
        <v>21.55</v>
      </c>
      <c r="C26" s="79">
        <f t="shared" si="0"/>
        <v>20.61</v>
      </c>
      <c r="D26" s="80">
        <v>0.157334106728538</v>
      </c>
      <c r="E26" s="80">
        <v>0.0157334106728539</v>
      </c>
      <c r="F26" s="81">
        <v>0.0211832946635731</v>
      </c>
      <c r="G26" s="81">
        <v>0.232946635730858</v>
      </c>
    </row>
    <row r="27" spans="1:7">
      <c r="A27" s="78" t="s">
        <v>193</v>
      </c>
      <c r="B27" s="79">
        <v>22.59</v>
      </c>
      <c r="C27" s="79">
        <f t="shared" si="0"/>
        <v>21.55</v>
      </c>
      <c r="D27" s="80">
        <v>0.196128818061089</v>
      </c>
      <c r="E27" s="80">
        <v>0.0196128818061089</v>
      </c>
      <c r="F27" s="81">
        <v>0.0248118636564852</v>
      </c>
      <c r="G27" s="81">
        <v>0.240637450199203</v>
      </c>
    </row>
    <row r="28" spans="1:7">
      <c r="A28" s="78" t="s">
        <v>194</v>
      </c>
      <c r="B28" s="79">
        <v>23.67</v>
      </c>
      <c r="C28" s="79">
        <f t="shared" si="0"/>
        <v>22.59</v>
      </c>
      <c r="D28" s="80">
        <v>0.232807351077313</v>
      </c>
      <c r="E28" s="80">
        <v>0.0232807351077313</v>
      </c>
      <c r="F28" s="81">
        <v>0.0282425010561893</v>
      </c>
      <c r="G28" s="81">
        <v>0.247908745247148</v>
      </c>
    </row>
    <row r="29" spans="1:7">
      <c r="A29" s="78" t="s">
        <v>195</v>
      </c>
      <c r="B29" s="79">
        <v>24.96</v>
      </c>
      <c r="C29" s="79">
        <f t="shared" si="0"/>
        <v>23.67</v>
      </c>
      <c r="D29" s="80">
        <v>0.272457932692308</v>
      </c>
      <c r="E29" s="80">
        <v>0.0272457932692308</v>
      </c>
      <c r="F29" s="81">
        <v>0.0319511217948718</v>
      </c>
      <c r="G29" s="81">
        <v>0.255769230769231</v>
      </c>
    </row>
    <row r="30" spans="1:7">
      <c r="A30" s="78" t="s">
        <v>196</v>
      </c>
      <c r="B30" s="79">
        <v>25.67</v>
      </c>
      <c r="C30" s="79">
        <f t="shared" si="0"/>
        <v>24.96</v>
      </c>
      <c r="D30" s="80">
        <v>0.292580833657967</v>
      </c>
      <c r="E30" s="80">
        <v>0.0292580833657967</v>
      </c>
      <c r="F30" s="81">
        <v>0.0338332684067004</v>
      </c>
      <c r="G30" s="81">
        <v>0.259758472925594</v>
      </c>
    </row>
    <row r="31" spans="1:7">
      <c r="A31" s="78" t="s">
        <v>197</v>
      </c>
      <c r="B31" s="79">
        <v>27.01</v>
      </c>
      <c r="C31" s="79">
        <f t="shared" si="0"/>
        <v>25.67</v>
      </c>
      <c r="D31" s="80">
        <v>0.327676786375417</v>
      </c>
      <c r="E31" s="80">
        <v>0.0327676786375417</v>
      </c>
      <c r="F31" s="81">
        <v>0.037115883006294</v>
      </c>
      <c r="G31" s="81">
        <v>0.266716031099593</v>
      </c>
    </row>
    <row r="32" spans="1:7">
      <c r="A32" s="78" t="s">
        <v>198</v>
      </c>
      <c r="B32" s="79">
        <v>28.33</v>
      </c>
      <c r="C32" s="79">
        <f t="shared" si="0"/>
        <v>27.01</v>
      </c>
      <c r="D32" s="80">
        <v>0.359002823861631</v>
      </c>
      <c r="E32" s="80">
        <v>0.0359002823861631</v>
      </c>
      <c r="F32" s="81">
        <v>0.040275326509001</v>
      </c>
      <c r="G32" s="81">
        <v>0.272926226614896</v>
      </c>
    </row>
    <row r="33" spans="1:7">
      <c r="A33" s="78" t="s">
        <v>199</v>
      </c>
      <c r="B33" s="79">
        <v>29.52</v>
      </c>
      <c r="C33" s="79">
        <f t="shared" si="0"/>
        <v>28.33</v>
      </c>
      <c r="D33" s="80">
        <v>0.384842479674797</v>
      </c>
      <c r="E33" s="80">
        <v>0.0384842479674797</v>
      </c>
      <c r="F33" s="81">
        <v>0.0547764227642276</v>
      </c>
      <c r="G33" s="81">
        <v>0.278048780487805</v>
      </c>
    </row>
    <row r="34" spans="1:7">
      <c r="A34" s="78" t="s">
        <v>200</v>
      </c>
      <c r="B34" s="79">
        <v>30.8</v>
      </c>
      <c r="C34" s="79">
        <f t="shared" si="0"/>
        <v>29.52</v>
      </c>
      <c r="D34" s="80">
        <v>0.410407467532468</v>
      </c>
      <c r="E34" s="80">
        <v>0.0462444805194806</v>
      </c>
      <c r="F34" s="81">
        <v>0.0691233766233766</v>
      </c>
      <c r="G34" s="81">
        <v>0.283116883116883</v>
      </c>
    </row>
    <row r="35" spans="1:7">
      <c r="A35" s="78" t="s">
        <v>201</v>
      </c>
      <c r="B35" s="79">
        <v>32.2</v>
      </c>
      <c r="C35" s="79">
        <f t="shared" si="0"/>
        <v>30.8</v>
      </c>
      <c r="D35" s="80">
        <v>0.436041925465839</v>
      </c>
      <c r="E35" s="80">
        <v>0.0616251552795032</v>
      </c>
      <c r="F35" s="81">
        <v>0.0835093167701864</v>
      </c>
      <c r="G35" s="81">
        <v>0.288198757763975</v>
      </c>
    </row>
    <row r="36" spans="1:7">
      <c r="A36" s="78" t="s">
        <v>202</v>
      </c>
      <c r="B36" s="79">
        <v>33.78</v>
      </c>
      <c r="C36" s="79">
        <f t="shared" si="0"/>
        <v>32.2</v>
      </c>
      <c r="D36" s="80">
        <v>0.462420071047958</v>
      </c>
      <c r="E36" s="80">
        <v>0.0774520426287745</v>
      </c>
      <c r="F36" s="81">
        <v>0.0983126110124334</v>
      </c>
      <c r="G36" s="81">
        <v>0.293428063943162</v>
      </c>
    </row>
    <row r="37" spans="1:7">
      <c r="A37" s="78" t="s">
        <v>203</v>
      </c>
      <c r="B37" s="79">
        <v>35.27</v>
      </c>
      <c r="C37" s="79">
        <f t="shared" si="0"/>
        <v>33.78</v>
      </c>
      <c r="D37" s="80">
        <v>0.485130422455345</v>
      </c>
      <c r="E37" s="80">
        <v>0.0910782534732068</v>
      </c>
      <c r="F37" s="81">
        <v>0.111057555996598</v>
      </c>
      <c r="G37" s="81">
        <v>0.297930252339098</v>
      </c>
    </row>
    <row r="38" spans="1:7">
      <c r="A38" s="78" t="s">
        <v>204</v>
      </c>
      <c r="B38" s="79">
        <v>36.75</v>
      </c>
      <c r="C38" s="79">
        <f t="shared" si="0"/>
        <v>35.27</v>
      </c>
      <c r="D38" s="80">
        <v>0.505865306122449</v>
      </c>
      <c r="E38" s="80">
        <v>0.103519183673469</v>
      </c>
      <c r="F38" s="81">
        <v>0.12269387755102</v>
      </c>
      <c r="G38" s="81">
        <v>0.302040816326531</v>
      </c>
    </row>
    <row r="39" spans="1:7">
      <c r="A39" s="78" t="s">
        <v>205</v>
      </c>
      <c r="B39" s="79">
        <v>37.98</v>
      </c>
      <c r="C39" s="79">
        <f t="shared" si="0"/>
        <v>36.75</v>
      </c>
      <c r="D39" s="80">
        <v>0.521868088467615</v>
      </c>
      <c r="E39" s="80">
        <v>0.113120853080569</v>
      </c>
      <c r="F39" s="81">
        <v>0.131674565560821</v>
      </c>
      <c r="G39" s="81">
        <v>0.30521327014218</v>
      </c>
    </row>
    <row r="40" spans="1:7">
      <c r="A40" s="78" t="s">
        <v>206</v>
      </c>
      <c r="B40" s="79">
        <v>39.64</v>
      </c>
      <c r="C40" s="79">
        <f t="shared" si="0"/>
        <v>37.98</v>
      </c>
      <c r="D40" s="80">
        <v>0.541890766902119</v>
      </c>
      <c r="E40" s="80">
        <v>0.125134460141271</v>
      </c>
      <c r="F40" s="81">
        <v>0.142911200807265</v>
      </c>
      <c r="G40" s="81">
        <v>0.309182643794147</v>
      </c>
    </row>
    <row r="41" spans="1:7">
      <c r="A41" s="78" t="s">
        <v>207</v>
      </c>
      <c r="B41" s="79">
        <v>41.64</v>
      </c>
      <c r="C41" s="79">
        <f t="shared" si="0"/>
        <v>39.64</v>
      </c>
      <c r="D41" s="80">
        <v>0.56389409221902</v>
      </c>
      <c r="E41" s="80">
        <v>0.138336455331412</v>
      </c>
      <c r="F41" s="81">
        <v>0.155259365994236</v>
      </c>
      <c r="G41" s="81">
        <v>0.313544668587896</v>
      </c>
    </row>
    <row r="42" spans="1:7">
      <c r="A42" s="78" t="s">
        <v>208</v>
      </c>
      <c r="B42" s="79">
        <v>43.97</v>
      </c>
      <c r="C42" s="79">
        <f t="shared" si="0"/>
        <v>41.64</v>
      </c>
      <c r="D42" s="80">
        <v>0.587003638844667</v>
      </c>
      <c r="E42" s="80">
        <v>0.1522021833068</v>
      </c>
      <c r="F42" s="81">
        <v>0.168228337502843</v>
      </c>
      <c r="G42" s="81">
        <v>0.318125994996589</v>
      </c>
    </row>
    <row r="43" spans="1:7">
      <c r="A43" s="78" t="s">
        <v>209</v>
      </c>
      <c r="B43" s="79">
        <v>46.38</v>
      </c>
      <c r="C43" s="79">
        <f t="shared" si="0"/>
        <v>43.97</v>
      </c>
      <c r="D43" s="80">
        <v>0.608463777490298</v>
      </c>
      <c r="E43" s="80">
        <v>0.165078266494179</v>
      </c>
      <c r="F43" s="81">
        <v>0.180271668822768</v>
      </c>
      <c r="G43" s="81">
        <v>0.322380336351876</v>
      </c>
    </row>
    <row r="44" spans="1:7">
      <c r="A44" s="78" t="s">
        <v>210</v>
      </c>
      <c r="B44" s="79">
        <v>49.15</v>
      </c>
      <c r="C44" s="79">
        <f t="shared" si="0"/>
        <v>46.38</v>
      </c>
      <c r="D44" s="80">
        <v>0.63053001017294</v>
      </c>
      <c r="E44" s="80">
        <v>0.178318006103764</v>
      </c>
      <c r="F44" s="81">
        <v>0.19265513733469</v>
      </c>
      <c r="G44" s="81">
        <v>0.32675483214649</v>
      </c>
    </row>
    <row r="45" spans="1:7">
      <c r="A45" s="78" t="s">
        <v>211</v>
      </c>
      <c r="B45" s="79">
        <v>51.85</v>
      </c>
      <c r="C45" s="79">
        <f t="shared" si="0"/>
        <v>49.15</v>
      </c>
      <c r="D45" s="80">
        <v>0.649769527483124</v>
      </c>
      <c r="E45" s="80">
        <v>0.189861716489875</v>
      </c>
      <c r="F45" s="81">
        <v>0.203452266152363</v>
      </c>
      <c r="G45" s="81">
        <v>0.330568948891032</v>
      </c>
    </row>
    <row r="46" spans="1:7">
      <c r="A46" s="78" t="s">
        <v>212</v>
      </c>
      <c r="B46" s="79">
        <v>55</v>
      </c>
      <c r="C46" s="79">
        <f t="shared" si="0"/>
        <v>51.85</v>
      </c>
      <c r="D46" s="80">
        <v>0.669828181818182</v>
      </c>
      <c r="E46" s="80">
        <v>0.201896909090909</v>
      </c>
      <c r="F46" s="81">
        <v>0.214709090909091</v>
      </c>
      <c r="G46" s="81">
        <v>0.334545454545455</v>
      </c>
    </row>
    <row r="47" spans="1:7">
      <c r="A47" s="78" t="s">
        <v>213</v>
      </c>
      <c r="B47" s="79">
        <v>58.51</v>
      </c>
      <c r="C47" s="79">
        <f t="shared" si="0"/>
        <v>55</v>
      </c>
      <c r="D47" s="80">
        <v>0.689635105110238</v>
      </c>
      <c r="E47" s="80">
        <v>0.213781063066143</v>
      </c>
      <c r="F47" s="81">
        <v>0.225824645359768</v>
      </c>
      <c r="G47" s="81">
        <v>0.338472056058793</v>
      </c>
    </row>
    <row r="48" spans="1:7">
      <c r="A48" s="78" t="s">
        <v>214</v>
      </c>
      <c r="B48" s="79">
        <v>60.68</v>
      </c>
      <c r="C48" s="79">
        <f t="shared" si="0"/>
        <v>58.51</v>
      </c>
      <c r="D48" s="80">
        <v>0.700734179301252</v>
      </c>
      <c r="E48" s="80">
        <v>0.220440507580752</v>
      </c>
      <c r="F48" s="81">
        <v>0.232053394858273</v>
      </c>
      <c r="G48" s="81">
        <v>0.34067237969677</v>
      </c>
    </row>
    <row r="49" spans="1:7">
      <c r="A49" s="78" t="s">
        <v>215</v>
      </c>
      <c r="B49" s="79">
        <v>63.42</v>
      </c>
      <c r="C49" s="79">
        <f t="shared" si="0"/>
        <v>60.68</v>
      </c>
      <c r="D49" s="80">
        <v>0.71366367076632</v>
      </c>
      <c r="E49" s="80">
        <v>0.228198202459792</v>
      </c>
      <c r="F49" s="81">
        <v>0.239309366130558</v>
      </c>
      <c r="G49" s="81">
        <v>0.343235572374645</v>
      </c>
    </row>
    <row r="50" spans="1:7">
      <c r="A50" s="78" t="s">
        <v>216</v>
      </c>
      <c r="B50" s="79">
        <v>68.53</v>
      </c>
      <c r="C50" s="79">
        <f t="shared" si="0"/>
        <v>63.42</v>
      </c>
      <c r="D50" s="80">
        <v>0.735014592149424</v>
      </c>
      <c r="E50" s="80">
        <v>0.241008755289654</v>
      </c>
      <c r="F50" s="81">
        <v>0.251291405223989</v>
      </c>
      <c r="G50" s="81">
        <v>0.347468262075004</v>
      </c>
    </row>
    <row r="51" spans="1:7">
      <c r="A51" s="78" t="s">
        <v>217</v>
      </c>
      <c r="B51" s="79">
        <v>73.17</v>
      </c>
      <c r="C51" s="79">
        <f t="shared" si="0"/>
        <v>68.53</v>
      </c>
      <c r="D51" s="80">
        <v>0.751818368183682</v>
      </c>
      <c r="E51" s="80">
        <v>0.251091020910209</v>
      </c>
      <c r="F51" s="81">
        <v>0.260721607216072</v>
      </c>
      <c r="G51" s="81">
        <v>0.35079950799508</v>
      </c>
    </row>
    <row r="52" spans="1:7">
      <c r="A52" s="78" t="s">
        <v>218</v>
      </c>
      <c r="B52" s="79">
        <v>79.93</v>
      </c>
      <c r="C52" s="79">
        <f t="shared" si="0"/>
        <v>73.17</v>
      </c>
      <c r="D52" s="80">
        <v>0.772808082071813</v>
      </c>
      <c r="E52" s="80">
        <v>0.263684849243088</v>
      </c>
      <c r="F52" s="81">
        <v>0.272500938321031</v>
      </c>
      <c r="G52" s="81">
        <v>0.354960590516702</v>
      </c>
    </row>
    <row r="53" spans="1:7">
      <c r="A53" s="78" t="s">
        <v>219</v>
      </c>
      <c r="B53" s="79">
        <v>87.36</v>
      </c>
      <c r="C53" s="79">
        <f t="shared" si="0"/>
        <v>79.93</v>
      </c>
      <c r="D53" s="80">
        <v>0.792130837912088</v>
      </c>
      <c r="E53" s="80">
        <v>0.275278502747253</v>
      </c>
      <c r="F53" s="81">
        <v>0.28334478021978</v>
      </c>
      <c r="G53" s="81">
        <v>0.358791208791209</v>
      </c>
    </row>
    <row r="54" spans="1:7">
      <c r="A54" s="78" t="s">
        <v>220</v>
      </c>
      <c r="B54" s="79">
        <v>95.49</v>
      </c>
      <c r="C54" s="79">
        <f t="shared" si="0"/>
        <v>87.36</v>
      </c>
      <c r="D54" s="80">
        <v>0.809828777882501</v>
      </c>
      <c r="E54" s="80">
        <v>0.2858972667295</v>
      </c>
      <c r="F54" s="81">
        <v>0.293276782909205</v>
      </c>
      <c r="G54" s="81">
        <v>0.362299717247879</v>
      </c>
    </row>
    <row r="55" spans="1:7">
      <c r="A55" s="78" t="s">
        <v>221</v>
      </c>
      <c r="B55" s="79">
        <v>106.08</v>
      </c>
      <c r="C55" s="79">
        <f t="shared" si="0"/>
        <v>95.49</v>
      </c>
      <c r="D55" s="80">
        <v>0.828813631221719</v>
      </c>
      <c r="E55" s="80">
        <v>0.297288178733032</v>
      </c>
      <c r="F55" s="81">
        <v>0.303930995475113</v>
      </c>
      <c r="G55" s="81">
        <v>0.36606334841629</v>
      </c>
    </row>
    <row r="56" spans="1:7">
      <c r="A56" s="78" t="s">
        <v>221</v>
      </c>
      <c r="B56" s="82" t="s">
        <v>434</v>
      </c>
      <c r="C56" s="79">
        <f t="shared" si="0"/>
        <v>106.08</v>
      </c>
      <c r="D56" s="83"/>
      <c r="E56" s="83"/>
      <c r="F56" s="84"/>
      <c r="G56" s="84"/>
    </row>
    <row r="57" spans="1:7">
      <c r="A57" s="78"/>
      <c r="B57" s="82"/>
      <c r="C57" s="82"/>
      <c r="D57" s="83"/>
      <c r="E57" s="85">
        <v>0.083333448678527</v>
      </c>
      <c r="F57" s="86">
        <v>0.0910963591645193</v>
      </c>
      <c r="G57" s="86">
        <v>0.229914267948305</v>
      </c>
    </row>
    <row r="58" ht="25.5" customHeight="1" spans="1:7">
      <c r="A58" s="87" t="s">
        <v>223</v>
      </c>
      <c r="B58" s="88">
        <v>10</v>
      </c>
      <c r="C58" s="82"/>
      <c r="D58" s="83"/>
      <c r="E58" s="89">
        <v>30.26575</v>
      </c>
      <c r="F58" s="90">
        <v>28.3083333333333</v>
      </c>
      <c r="G58" s="91">
        <v>10</v>
      </c>
    </row>
    <row r="59" ht="24" spans="1:7">
      <c r="A59" s="87" t="s">
        <v>224</v>
      </c>
      <c r="B59" s="88">
        <v>34.3</v>
      </c>
      <c r="C59" s="82"/>
      <c r="D59" s="83"/>
      <c r="E59" s="83"/>
      <c r="F59" s="84"/>
      <c r="G59" s="84"/>
    </row>
    <row r="60" ht="36" spans="1:7">
      <c r="A60" s="92" t="s">
        <v>225</v>
      </c>
      <c r="B60" s="93">
        <v>20.6</v>
      </c>
      <c r="C60" s="78"/>
      <c r="D60" s="83"/>
      <c r="E60" s="93">
        <v>18.15945</v>
      </c>
      <c r="F60" s="94">
        <v>16.985</v>
      </c>
      <c r="G60" s="94">
        <v>6</v>
      </c>
    </row>
    <row r="62" ht="26.25" customHeight="1" spans="1:2">
      <c r="A62" s="87" t="s">
        <v>224</v>
      </c>
      <c r="B62">
        <f>B59</f>
        <v>34.3</v>
      </c>
    </row>
    <row r="63" spans="1:3">
      <c r="A63" s="531" t="s">
        <v>226</v>
      </c>
      <c r="B63" s="95">
        <f>AVERAGE(B11:B50)</f>
        <v>30.26575</v>
      </c>
      <c r="C63" s="95"/>
    </row>
    <row r="64" spans="1:3">
      <c r="A64" s="531" t="s">
        <v>227</v>
      </c>
      <c r="B64" s="96">
        <f>AVERAGE(B16:B45)</f>
        <v>28.3083333333333</v>
      </c>
      <c r="C64" s="96"/>
    </row>
    <row r="65" spans="1:3">
      <c r="A65" s="531" t="s">
        <v>228</v>
      </c>
      <c r="B65" s="96">
        <f>AVERAGE(B22:B40)</f>
        <v>27.7231578947368</v>
      </c>
      <c r="C65" s="96"/>
    </row>
    <row r="69" ht="18" customHeight="1" spans="1:7">
      <c r="A69" s="97" t="s">
        <v>165</v>
      </c>
      <c r="B69" s="83" t="s">
        <v>229</v>
      </c>
      <c r="C69" s="83"/>
      <c r="D69" s="83"/>
      <c r="E69" s="98">
        <f>(1-E124)^(1/3)-1</f>
        <v>-0.0236184204635286</v>
      </c>
      <c r="F69" s="98">
        <f>(1-F124)^(1/3)-1</f>
        <v>-0.0247972371510331</v>
      </c>
      <c r="G69" s="98"/>
    </row>
    <row r="70" ht="48" spans="1:7">
      <c r="A70" s="99"/>
      <c r="B70" s="93" t="s">
        <v>167</v>
      </c>
      <c r="C70" s="83"/>
      <c r="D70" s="93" t="s">
        <v>168</v>
      </c>
      <c r="E70" s="83" t="s">
        <v>169</v>
      </c>
      <c r="F70" s="84" t="s">
        <v>169</v>
      </c>
      <c r="G70" s="84"/>
    </row>
    <row r="71" spans="1:7">
      <c r="A71" s="100"/>
      <c r="B71" s="83" t="s">
        <v>230</v>
      </c>
      <c r="C71" s="83"/>
      <c r="D71" s="83" t="s">
        <v>171</v>
      </c>
      <c r="E71" s="83" t="s">
        <v>171</v>
      </c>
      <c r="F71" s="84" t="s">
        <v>171</v>
      </c>
      <c r="G71" s="84"/>
    </row>
    <row r="72" spans="1:7">
      <c r="A72" s="75">
        <v>1</v>
      </c>
      <c r="B72" s="76">
        <v>2</v>
      </c>
      <c r="C72" s="76"/>
      <c r="D72" s="76">
        <v>3</v>
      </c>
      <c r="E72" s="76">
        <v>4</v>
      </c>
      <c r="F72" s="77">
        <v>5</v>
      </c>
      <c r="G72" s="77"/>
    </row>
    <row r="73" spans="1:7">
      <c r="A73" s="530" t="s">
        <v>172</v>
      </c>
      <c r="B73" s="101">
        <v>25.07</v>
      </c>
      <c r="C73" s="102">
        <v>0</v>
      </c>
      <c r="D73" s="80">
        <v>0</v>
      </c>
      <c r="E73" s="80">
        <v>0</v>
      </c>
      <c r="F73" s="81">
        <v>0</v>
      </c>
      <c r="G73" s="81">
        <v>0.0384922217790188</v>
      </c>
    </row>
    <row r="74" spans="1:7">
      <c r="A74" s="530" t="s">
        <v>173</v>
      </c>
      <c r="B74" s="101">
        <v>26.87</v>
      </c>
      <c r="C74" s="79">
        <f>B73</f>
        <v>25.07</v>
      </c>
      <c r="D74" s="80">
        <v>0</v>
      </c>
      <c r="E74" s="80">
        <v>0</v>
      </c>
      <c r="F74" s="81">
        <v>0</v>
      </c>
      <c r="G74" s="81">
        <v>0.055675474506885</v>
      </c>
    </row>
    <row r="75" spans="1:7">
      <c r="A75" s="530" t="s">
        <v>174</v>
      </c>
      <c r="B75" s="101">
        <v>28.05</v>
      </c>
      <c r="C75" s="79">
        <f t="shared" ref="C75:C123" si="1">B74</f>
        <v>26.87</v>
      </c>
      <c r="D75" s="80">
        <v>0</v>
      </c>
      <c r="E75" s="80">
        <v>0</v>
      </c>
      <c r="F75" s="81">
        <v>0</v>
      </c>
      <c r="G75" s="81">
        <v>0.0701604278074867</v>
      </c>
    </row>
    <row r="76" spans="1:7">
      <c r="A76" s="530" t="s">
        <v>175</v>
      </c>
      <c r="B76" s="101">
        <v>29.18</v>
      </c>
      <c r="C76" s="79">
        <f t="shared" si="1"/>
        <v>28.05</v>
      </c>
      <c r="D76" s="80">
        <v>0</v>
      </c>
      <c r="E76" s="80">
        <v>0</v>
      </c>
      <c r="F76" s="81">
        <v>0</v>
      </c>
      <c r="G76" s="81">
        <v>0.0829335161069226</v>
      </c>
    </row>
    <row r="77" spans="1:7">
      <c r="A77" s="530" t="s">
        <v>176</v>
      </c>
      <c r="B77" s="101">
        <v>30.9</v>
      </c>
      <c r="C77" s="79">
        <f t="shared" si="1"/>
        <v>29.18</v>
      </c>
      <c r="D77" s="80">
        <v>0</v>
      </c>
      <c r="E77" s="80">
        <v>0</v>
      </c>
      <c r="F77" s="81">
        <v>0</v>
      </c>
      <c r="G77" s="81">
        <v>0.100582524271845</v>
      </c>
    </row>
    <row r="78" spans="1:7">
      <c r="A78" s="530" t="s">
        <v>177</v>
      </c>
      <c r="B78" s="101">
        <v>32.19</v>
      </c>
      <c r="C78" s="79">
        <f t="shared" si="1"/>
        <v>30.9</v>
      </c>
      <c r="D78" s="80">
        <v>0</v>
      </c>
      <c r="E78" s="80">
        <v>0</v>
      </c>
      <c r="F78" s="81">
        <v>0</v>
      </c>
      <c r="G78" s="81">
        <v>0.112581547064306</v>
      </c>
    </row>
    <row r="79" spans="1:7">
      <c r="A79" s="530" t="s">
        <v>178</v>
      </c>
      <c r="B79" s="101">
        <v>33.23</v>
      </c>
      <c r="C79" s="79">
        <f t="shared" si="1"/>
        <v>32.19</v>
      </c>
      <c r="D79" s="80">
        <v>0</v>
      </c>
      <c r="E79" s="80">
        <v>0</v>
      </c>
      <c r="F79" s="81">
        <v>0.00198916641588928</v>
      </c>
      <c r="G79" s="81">
        <v>0.121576888353897</v>
      </c>
    </row>
    <row r="80" spans="1:7">
      <c r="A80" s="78" t="s">
        <v>179</v>
      </c>
      <c r="B80" s="101">
        <v>34.42</v>
      </c>
      <c r="C80" s="79">
        <f t="shared" si="1"/>
        <v>33.23</v>
      </c>
      <c r="D80" s="80">
        <v>0.032783265543289</v>
      </c>
      <c r="E80" s="80"/>
      <c r="F80" s="81">
        <v>0.00537768739105175</v>
      </c>
      <c r="G80" s="81">
        <v>0.131202789076119</v>
      </c>
    </row>
    <row r="81" spans="1:7">
      <c r="A81" s="78" t="s">
        <v>180</v>
      </c>
      <c r="B81" s="101">
        <v>35.79</v>
      </c>
      <c r="C81" s="79">
        <f t="shared" si="1"/>
        <v>34.42</v>
      </c>
      <c r="D81" s="80">
        <v>0.069807208717519</v>
      </c>
      <c r="E81" s="80"/>
      <c r="F81" s="81">
        <v>0.00899972059234426</v>
      </c>
      <c r="G81" s="81">
        <v>0.141492036881811</v>
      </c>
    </row>
    <row r="82" spans="1:7">
      <c r="A82" s="78" t="s">
        <v>181</v>
      </c>
      <c r="B82" s="101">
        <v>36.73</v>
      </c>
      <c r="C82" s="79">
        <f t="shared" si="1"/>
        <v>35.79</v>
      </c>
      <c r="D82" s="80">
        <v>0.0936128505309012</v>
      </c>
      <c r="E82" s="80"/>
      <c r="F82" s="81">
        <v>0.011328614211816</v>
      </c>
      <c r="G82" s="81">
        <v>0.148107813776205</v>
      </c>
    </row>
    <row r="83" spans="1:7">
      <c r="A83" s="78" t="s">
        <v>182</v>
      </c>
      <c r="B83" s="101">
        <v>37.65</v>
      </c>
      <c r="C83" s="79">
        <f t="shared" si="1"/>
        <v>36.73</v>
      </c>
      <c r="D83" s="80">
        <v>0.115760956175299</v>
      </c>
      <c r="E83" s="80">
        <v>0.0115760956175299</v>
      </c>
      <c r="F83" s="81">
        <v>0.0134953519256308</v>
      </c>
      <c r="G83" s="81">
        <v>0.154262948207171</v>
      </c>
    </row>
    <row r="84" spans="1:7">
      <c r="A84" s="78" t="s">
        <v>183</v>
      </c>
      <c r="B84" s="101">
        <v>38.78</v>
      </c>
      <c r="C84" s="79">
        <f t="shared" si="1"/>
        <v>37.65</v>
      </c>
      <c r="D84" s="80">
        <v>0.141526560082517</v>
      </c>
      <c r="E84" s="80">
        <v>0.0141526560082517</v>
      </c>
      <c r="F84" s="81">
        <v>0.0160159876224858</v>
      </c>
      <c r="G84" s="81">
        <v>0.161423414130995</v>
      </c>
    </row>
    <row r="85" spans="1:7">
      <c r="A85" s="78" t="s">
        <v>184</v>
      </c>
      <c r="B85" s="101">
        <v>39.91</v>
      </c>
      <c r="C85" s="79">
        <f t="shared" si="1"/>
        <v>38.78</v>
      </c>
      <c r="D85" s="80">
        <v>0.165833124530193</v>
      </c>
      <c r="E85" s="80">
        <v>0.0165833124530193</v>
      </c>
      <c r="F85" s="81">
        <v>0.0183938862440491</v>
      </c>
      <c r="G85" s="81">
        <v>0.168178401403157</v>
      </c>
    </row>
    <row r="86" spans="1:7">
      <c r="A86" s="78" t="s">
        <v>185</v>
      </c>
      <c r="B86" s="101">
        <v>40.95</v>
      </c>
      <c r="C86" s="79">
        <f t="shared" si="1"/>
        <v>39.91</v>
      </c>
      <c r="D86" s="80">
        <v>0.187018315018315</v>
      </c>
      <c r="E86" s="80">
        <v>0.0187018315018315</v>
      </c>
      <c r="F86" s="81">
        <v>0.0204664224664225</v>
      </c>
      <c r="G86" s="81">
        <v>0.174065934065934</v>
      </c>
    </row>
    <row r="87" spans="1:7">
      <c r="A87" s="78" t="s">
        <v>186</v>
      </c>
      <c r="B87" s="101">
        <v>41.65</v>
      </c>
      <c r="C87" s="79">
        <f t="shared" si="1"/>
        <v>40.95</v>
      </c>
      <c r="D87" s="80">
        <v>0.2006818727491</v>
      </c>
      <c r="E87" s="80">
        <v>0.02006818727491</v>
      </c>
      <c r="F87" s="81">
        <v>0.0218031212484994</v>
      </c>
      <c r="G87" s="81">
        <v>0.177863145258103</v>
      </c>
    </row>
    <row r="88" spans="1:7">
      <c r="A88" s="78" t="s">
        <v>187</v>
      </c>
      <c r="B88" s="101">
        <v>43.07</v>
      </c>
      <c r="C88" s="79">
        <f t="shared" si="1"/>
        <v>41.65</v>
      </c>
      <c r="D88" s="80">
        <v>0.227035059205944</v>
      </c>
      <c r="E88" s="80">
        <v>0.0227035059205944</v>
      </c>
      <c r="F88" s="81">
        <v>0.0243812398421175</v>
      </c>
      <c r="G88" s="81">
        <v>0.18518690503831</v>
      </c>
    </row>
    <row r="89" spans="1:7">
      <c r="A89" s="78" t="s">
        <v>188</v>
      </c>
      <c r="B89" s="101">
        <v>44.32</v>
      </c>
      <c r="C89" s="79">
        <f t="shared" si="1"/>
        <v>43.07</v>
      </c>
      <c r="D89" s="80">
        <v>0.248835740072202</v>
      </c>
      <c r="E89" s="80">
        <v>0.0248835740072202</v>
      </c>
      <c r="F89" s="81">
        <v>0.0265139891696751</v>
      </c>
      <c r="G89" s="81">
        <v>0.191245487364621</v>
      </c>
    </row>
    <row r="90" spans="1:7">
      <c r="A90" s="78" t="s">
        <v>189</v>
      </c>
      <c r="B90" s="101">
        <v>45.44</v>
      </c>
      <c r="C90" s="79">
        <f t="shared" si="1"/>
        <v>44.32</v>
      </c>
      <c r="D90" s="80">
        <v>0.267350352112676</v>
      </c>
      <c r="E90" s="80">
        <v>0.0267350352112676</v>
      </c>
      <c r="F90" s="81">
        <v>0.0283252640845071</v>
      </c>
      <c r="G90" s="81">
        <v>0.196390845070423</v>
      </c>
    </row>
    <row r="91" spans="1:7">
      <c r="A91" s="78" t="s">
        <v>190</v>
      </c>
      <c r="B91" s="101">
        <v>46.61</v>
      </c>
      <c r="C91" s="79">
        <f t="shared" si="1"/>
        <v>45.44</v>
      </c>
      <c r="D91" s="80">
        <v>0.285741257240936</v>
      </c>
      <c r="E91" s="80">
        <v>0.0285741257240936</v>
      </c>
      <c r="F91" s="81">
        <v>0.0301244368161339</v>
      </c>
      <c r="G91" s="81">
        <v>0.201501823642995</v>
      </c>
    </row>
    <row r="92" spans="1:7">
      <c r="A92" s="78" t="s">
        <v>191</v>
      </c>
      <c r="B92" s="101">
        <v>47.23</v>
      </c>
      <c r="C92" s="79">
        <f t="shared" si="1"/>
        <v>46.61</v>
      </c>
      <c r="D92" s="80">
        <v>0.295117510057167</v>
      </c>
      <c r="E92" s="80">
        <v>0.0295117510057167</v>
      </c>
      <c r="F92" s="81">
        <v>0.0310417107770485</v>
      </c>
      <c r="G92" s="81">
        <v>0.204107558755029</v>
      </c>
    </row>
    <row r="93" spans="1:7">
      <c r="A93" s="78" t="s">
        <v>192</v>
      </c>
      <c r="B93" s="101">
        <v>48.02</v>
      </c>
      <c r="C93" s="79">
        <f t="shared" si="1"/>
        <v>47.23</v>
      </c>
      <c r="D93" s="80">
        <v>0.306713869221158</v>
      </c>
      <c r="E93" s="80">
        <v>0.0306713869221158</v>
      </c>
      <c r="F93" s="81">
        <v>0.0321761765930862</v>
      </c>
      <c r="G93" s="81">
        <v>0.207330279050396</v>
      </c>
    </row>
    <row r="94" spans="1:7">
      <c r="A94" s="78" t="s">
        <v>193</v>
      </c>
      <c r="B94" s="101">
        <v>48.84</v>
      </c>
      <c r="C94" s="79">
        <f t="shared" si="1"/>
        <v>48.02</v>
      </c>
      <c r="D94" s="80">
        <v>0.318353808353808</v>
      </c>
      <c r="E94" s="80">
        <v>0.0318353808353809</v>
      </c>
      <c r="F94" s="81">
        <v>0.0333149058149058</v>
      </c>
      <c r="G94" s="81">
        <v>0.210565110565111</v>
      </c>
    </row>
    <row r="95" spans="1:7">
      <c r="A95" s="78" t="s">
        <v>194</v>
      </c>
      <c r="B95" s="101">
        <v>49.91</v>
      </c>
      <c r="C95" s="79">
        <f t="shared" si="1"/>
        <v>48.84</v>
      </c>
      <c r="D95" s="80">
        <v>0.332967341214186</v>
      </c>
      <c r="E95" s="80">
        <v>0.0332967341214186</v>
      </c>
      <c r="F95" s="81">
        <v>0.0347445401723102</v>
      </c>
      <c r="G95" s="81">
        <v>0.214626327389301</v>
      </c>
    </row>
    <row r="96" spans="1:7">
      <c r="A96" s="78" t="s">
        <v>195</v>
      </c>
      <c r="B96" s="101">
        <v>51.03</v>
      </c>
      <c r="C96" s="79">
        <f t="shared" si="1"/>
        <v>49.91</v>
      </c>
      <c r="D96" s="80">
        <v>0.347607289829512</v>
      </c>
      <c r="E96" s="80">
        <v>0.0347607289829512</v>
      </c>
      <c r="F96" s="81">
        <v>0.0361767587693514</v>
      </c>
      <c r="G96" s="81">
        <v>0.218694885361552</v>
      </c>
    </row>
    <row r="97" spans="1:7">
      <c r="A97" s="78" t="s">
        <v>196</v>
      </c>
      <c r="B97" s="101">
        <v>52.47</v>
      </c>
      <c r="C97" s="79">
        <f t="shared" si="1"/>
        <v>51.03</v>
      </c>
      <c r="D97" s="80">
        <v>0.365511720983419</v>
      </c>
      <c r="E97" s="80">
        <v>0.0365511720983419</v>
      </c>
      <c r="F97" s="81">
        <v>0.0379283400038117</v>
      </c>
      <c r="G97" s="81">
        <v>0.223670668953688</v>
      </c>
    </row>
    <row r="98" spans="1:7">
      <c r="A98" s="78" t="s">
        <v>197</v>
      </c>
      <c r="B98" s="101">
        <v>53.55</v>
      </c>
      <c r="C98" s="79">
        <f t="shared" si="1"/>
        <v>52.47</v>
      </c>
      <c r="D98" s="80">
        <v>0.3783081232493</v>
      </c>
      <c r="E98" s="80">
        <v>0.03783081232493</v>
      </c>
      <c r="F98" s="81">
        <v>0.0391802054154996</v>
      </c>
      <c r="G98" s="81">
        <v>0.227226890756303</v>
      </c>
    </row>
    <row r="99" spans="1:7">
      <c r="A99" s="78" t="s">
        <v>198</v>
      </c>
      <c r="B99" s="101">
        <v>54.09</v>
      </c>
      <c r="C99" s="79">
        <f t="shared" si="1"/>
        <v>53.55</v>
      </c>
      <c r="D99" s="80">
        <v>0.384514697726012</v>
      </c>
      <c r="E99" s="80">
        <v>0.0384514697726012</v>
      </c>
      <c r="F99" s="81">
        <v>0.0397873913847292</v>
      </c>
      <c r="G99" s="81">
        <v>0.228951747088186</v>
      </c>
    </row>
    <row r="100" spans="1:7">
      <c r="A100" s="78" t="s">
        <v>199</v>
      </c>
      <c r="B100" s="101">
        <v>55.18</v>
      </c>
      <c r="C100" s="79">
        <f t="shared" si="1"/>
        <v>54.09</v>
      </c>
      <c r="D100" s="80">
        <v>0.396672707502718</v>
      </c>
      <c r="E100" s="80">
        <v>0.0396672707502718</v>
      </c>
      <c r="F100" s="81">
        <v>0.0458608191373687</v>
      </c>
      <c r="G100" s="81">
        <v>0.23233055454875</v>
      </c>
    </row>
    <row r="101" spans="1:7">
      <c r="A101" s="78" t="s">
        <v>200</v>
      </c>
      <c r="B101" s="101">
        <v>57.1</v>
      </c>
      <c r="C101" s="79">
        <f t="shared" si="1"/>
        <v>55.18</v>
      </c>
      <c r="D101" s="80">
        <v>0.416959719789842</v>
      </c>
      <c r="E101" s="80">
        <v>0.0501758318739055</v>
      </c>
      <c r="F101" s="81">
        <v>0.0577688266199651</v>
      </c>
      <c r="G101" s="81">
        <v>0.237968476357268</v>
      </c>
    </row>
    <row r="102" spans="1:7">
      <c r="A102" s="78" t="s">
        <v>201</v>
      </c>
      <c r="B102" s="101">
        <v>57.99</v>
      </c>
      <c r="C102" s="79">
        <f t="shared" si="1"/>
        <v>57.1</v>
      </c>
      <c r="D102" s="80">
        <v>0.425907915157786</v>
      </c>
      <c r="E102" s="80">
        <v>0.0555447490946716</v>
      </c>
      <c r="F102" s="81">
        <v>0.0630212105535438</v>
      </c>
      <c r="G102" s="81">
        <v>0.240455250905329</v>
      </c>
    </row>
    <row r="103" spans="1:7">
      <c r="A103" s="78" t="s">
        <v>202</v>
      </c>
      <c r="B103" s="101">
        <v>59.42</v>
      </c>
      <c r="C103" s="79">
        <f t="shared" si="1"/>
        <v>57.99</v>
      </c>
      <c r="D103" s="80">
        <v>0.439723998653652</v>
      </c>
      <c r="E103" s="80">
        <v>0.0638343991921912</v>
      </c>
      <c r="F103" s="81">
        <v>0.0711309323460115</v>
      </c>
      <c r="G103" s="81">
        <v>0.244294850218782</v>
      </c>
    </row>
    <row r="104" spans="1:7">
      <c r="A104" s="78" t="s">
        <v>203</v>
      </c>
      <c r="B104" s="101">
        <v>61.93</v>
      </c>
      <c r="C104" s="79">
        <f t="shared" si="1"/>
        <v>59.42</v>
      </c>
      <c r="D104" s="80">
        <v>0.462431777813661</v>
      </c>
      <c r="E104" s="80">
        <v>0.0774590666881964</v>
      </c>
      <c r="F104" s="81">
        <v>0.0844598740513484</v>
      </c>
      <c r="G104" s="81">
        <v>0.250605522363959</v>
      </c>
    </row>
    <row r="105" spans="1:7">
      <c r="A105" s="78" t="s">
        <v>204</v>
      </c>
      <c r="B105" s="101">
        <v>63.5</v>
      </c>
      <c r="C105" s="79">
        <f t="shared" si="1"/>
        <v>61.93</v>
      </c>
      <c r="D105" s="80">
        <v>0.475722834645669</v>
      </c>
      <c r="E105" s="80">
        <v>0.0854337007874016</v>
      </c>
      <c r="F105" s="81">
        <v>0.0922614173228347</v>
      </c>
      <c r="G105" s="81">
        <v>0.254299212598425</v>
      </c>
    </row>
    <row r="106" spans="1:7">
      <c r="A106" s="78" t="s">
        <v>205</v>
      </c>
      <c r="B106" s="101">
        <v>64.81</v>
      </c>
      <c r="C106" s="79">
        <f t="shared" si="1"/>
        <v>63.5</v>
      </c>
      <c r="D106" s="80">
        <v>0.486320012343774</v>
      </c>
      <c r="E106" s="80">
        <v>0.0917920074062645</v>
      </c>
      <c r="F106" s="81">
        <v>0.0984817157846012</v>
      </c>
      <c r="G106" s="81">
        <v>0.257244252430181</v>
      </c>
    </row>
    <row r="107" spans="1:7">
      <c r="A107" s="78" t="s">
        <v>206</v>
      </c>
      <c r="B107" s="101">
        <v>66.24</v>
      </c>
      <c r="C107" s="79">
        <f t="shared" si="1"/>
        <v>64.81</v>
      </c>
      <c r="D107" s="80">
        <v>0.497409420289855</v>
      </c>
      <c r="E107" s="80">
        <v>0.0984456521739131</v>
      </c>
      <c r="F107" s="81">
        <v>0.104990942028986</v>
      </c>
      <c r="G107" s="81">
        <v>0.260326086956522</v>
      </c>
    </row>
    <row r="108" spans="1:7">
      <c r="A108" s="78" t="s">
        <v>207</v>
      </c>
      <c r="B108" s="101">
        <v>68.13</v>
      </c>
      <c r="C108" s="79">
        <f t="shared" si="1"/>
        <v>66.24</v>
      </c>
      <c r="D108" s="80">
        <v>0.511351827388816</v>
      </c>
      <c r="E108" s="80">
        <v>0.106811096433289</v>
      </c>
      <c r="F108" s="81">
        <v>0.113174812857772</v>
      </c>
      <c r="G108" s="81">
        <v>0.264200792602378</v>
      </c>
    </row>
    <row r="109" spans="1:7">
      <c r="A109" s="78" t="s">
        <v>208</v>
      </c>
      <c r="B109" s="101">
        <v>70.34</v>
      </c>
      <c r="C109" s="79">
        <f t="shared" si="1"/>
        <v>68.13</v>
      </c>
      <c r="D109" s="80">
        <v>0.526704577765141</v>
      </c>
      <c r="E109" s="80">
        <v>0.116022746659085</v>
      </c>
      <c r="F109" s="81">
        <v>0.122186522604493</v>
      </c>
      <c r="G109" s="81">
        <v>0.268467443844185</v>
      </c>
    </row>
    <row r="110" spans="1:7">
      <c r="A110" s="78" t="s">
        <v>209</v>
      </c>
      <c r="B110" s="101">
        <v>72</v>
      </c>
      <c r="C110" s="79">
        <f t="shared" si="1"/>
        <v>70.34</v>
      </c>
      <c r="D110" s="80">
        <v>0.537616666666667</v>
      </c>
      <c r="E110" s="80">
        <v>0.12257</v>
      </c>
      <c r="F110" s="81">
        <v>0.128591666666667</v>
      </c>
      <c r="G110" s="81">
        <v>0.2715</v>
      </c>
    </row>
    <row r="111" spans="1:7">
      <c r="A111" s="78" t="s">
        <v>210</v>
      </c>
      <c r="B111" s="101">
        <v>72.97</v>
      </c>
      <c r="C111" s="79">
        <f t="shared" si="1"/>
        <v>72</v>
      </c>
      <c r="D111" s="80">
        <v>0.5437631903522</v>
      </c>
      <c r="E111" s="80">
        <v>0.12625791421132</v>
      </c>
      <c r="F111" s="81">
        <v>0.132199534055091</v>
      </c>
      <c r="G111" s="81">
        <v>0.273208167740167</v>
      </c>
    </row>
    <row r="112" spans="1:7">
      <c r="A112" s="78" t="s">
        <v>211</v>
      </c>
      <c r="B112" s="101">
        <v>75.32</v>
      </c>
      <c r="C112" s="79">
        <f t="shared" si="1"/>
        <v>72.97</v>
      </c>
      <c r="D112" s="80">
        <v>0.557997875730218</v>
      </c>
      <c r="E112" s="80">
        <v>0.134798725438131</v>
      </c>
      <c r="F112" s="81">
        <v>0.140554965480616</v>
      </c>
      <c r="G112" s="81">
        <v>0.27716409984068</v>
      </c>
    </row>
    <row r="113" spans="1:7">
      <c r="A113" s="78" t="s">
        <v>212</v>
      </c>
      <c r="B113" s="101">
        <v>78.48</v>
      </c>
      <c r="C113" s="79">
        <f t="shared" si="1"/>
        <v>75.32</v>
      </c>
      <c r="D113" s="80">
        <v>0.575795107033639</v>
      </c>
      <c r="E113" s="80">
        <v>0.145477064220184</v>
      </c>
      <c r="F113" s="81">
        <v>0.151001529051988</v>
      </c>
      <c r="G113" s="81">
        <v>0.282110091743119</v>
      </c>
    </row>
    <row r="114" spans="1:7">
      <c r="A114" s="78" t="s">
        <v>213</v>
      </c>
      <c r="B114" s="101">
        <v>80.93</v>
      </c>
      <c r="C114" s="79">
        <f t="shared" si="1"/>
        <v>78.48</v>
      </c>
      <c r="D114" s="80">
        <v>0.588637093784752</v>
      </c>
      <c r="E114" s="80">
        <v>0.153182256270851</v>
      </c>
      <c r="F114" s="81">
        <v>0.15853947856172</v>
      </c>
      <c r="G114" s="81">
        <v>0.285678981836155</v>
      </c>
    </row>
    <row r="115" spans="1:7">
      <c r="A115" s="78" t="s">
        <v>214</v>
      </c>
      <c r="B115" s="101">
        <v>83.47</v>
      </c>
      <c r="C115" s="79">
        <f t="shared" si="1"/>
        <v>80.93</v>
      </c>
      <c r="D115" s="80">
        <v>0.601154905954235</v>
      </c>
      <c r="E115" s="80">
        <v>0.160692943572541</v>
      </c>
      <c r="F115" s="81">
        <v>0.165887145082065</v>
      </c>
      <c r="G115" s="81">
        <v>0.289157781238768</v>
      </c>
    </row>
    <row r="116" spans="1:7">
      <c r="A116" s="78" t="s">
        <v>215</v>
      </c>
      <c r="B116" s="101">
        <v>86.25</v>
      </c>
      <c r="C116" s="79">
        <f t="shared" si="1"/>
        <v>83.47</v>
      </c>
      <c r="D116" s="80">
        <v>0.614010434782609</v>
      </c>
      <c r="E116" s="80">
        <v>0.168406260869565</v>
      </c>
      <c r="F116" s="81">
        <v>0.173433043478261</v>
      </c>
      <c r="G116" s="81">
        <v>0.292730434782609</v>
      </c>
    </row>
    <row r="117" spans="1:7">
      <c r="A117" s="78" t="s">
        <v>216</v>
      </c>
      <c r="B117" s="101">
        <v>89.5</v>
      </c>
      <c r="C117" s="79">
        <f t="shared" si="1"/>
        <v>86.25</v>
      </c>
      <c r="D117" s="80">
        <v>0.628026815642458</v>
      </c>
      <c r="E117" s="80">
        <v>0.176816089385475</v>
      </c>
      <c r="F117" s="81">
        <v>0.181660335195531</v>
      </c>
      <c r="G117" s="81">
        <v>0.296625698324022</v>
      </c>
    </row>
    <row r="118" spans="1:7">
      <c r="A118" s="78" t="s">
        <v>217</v>
      </c>
      <c r="B118" s="101">
        <v>91.92</v>
      </c>
      <c r="C118" s="79">
        <f t="shared" si="1"/>
        <v>89.5</v>
      </c>
      <c r="D118" s="80">
        <v>0.637819843342037</v>
      </c>
      <c r="E118" s="80">
        <v>0.182691906005222</v>
      </c>
      <c r="F118" s="81">
        <v>0.18740861618799</v>
      </c>
      <c r="G118" s="81">
        <v>0.29934725848564</v>
      </c>
    </row>
    <row r="119" spans="1:7">
      <c r="A119" s="78" t="s">
        <v>218</v>
      </c>
      <c r="B119" s="101">
        <v>95.32</v>
      </c>
      <c r="C119" s="79">
        <f t="shared" si="1"/>
        <v>91.92</v>
      </c>
      <c r="D119" s="80">
        <v>0.650738564834243</v>
      </c>
      <c r="E119" s="80">
        <v>0.190443138900546</v>
      </c>
      <c r="F119" s="81">
        <v>0.194991607217793</v>
      </c>
      <c r="G119" s="81">
        <v>0.302937473772556</v>
      </c>
    </row>
    <row r="120" spans="1:7">
      <c r="A120" s="78" t="s">
        <v>219</v>
      </c>
      <c r="B120" s="101">
        <v>100.57</v>
      </c>
      <c r="C120" s="79">
        <f t="shared" si="1"/>
        <v>95.32</v>
      </c>
      <c r="D120" s="80">
        <v>0.668970866063438</v>
      </c>
      <c r="E120" s="80">
        <v>0.201382519638063</v>
      </c>
      <c r="F120" s="81">
        <v>0.205693546783335</v>
      </c>
      <c r="G120" s="81">
        <v>0.308004375062146</v>
      </c>
    </row>
    <row r="121" spans="1:7">
      <c r="A121" s="78" t="s">
        <v>220</v>
      </c>
      <c r="B121" s="101">
        <v>104.35</v>
      </c>
      <c r="C121" s="79">
        <f t="shared" si="1"/>
        <v>100.57</v>
      </c>
      <c r="D121" s="80">
        <v>0.680962146621945</v>
      </c>
      <c r="E121" s="80">
        <v>0.208577287973167</v>
      </c>
      <c r="F121" s="81">
        <v>0.212732151413512</v>
      </c>
      <c r="G121" s="81">
        <v>0.311336847149018</v>
      </c>
    </row>
    <row r="122" spans="1:7">
      <c r="A122" s="78" t="s">
        <v>221</v>
      </c>
      <c r="B122" s="101">
        <v>115.3</v>
      </c>
      <c r="C122" s="79">
        <f t="shared" si="1"/>
        <v>104.35</v>
      </c>
      <c r="D122" s="80">
        <v>0.71126105810928</v>
      </c>
      <c r="E122" s="80">
        <v>0.226756634865568</v>
      </c>
      <c r="F122" s="81">
        <v>0.230516912402429</v>
      </c>
      <c r="G122" s="81">
        <v>0.319757155247181</v>
      </c>
    </row>
    <row r="123" spans="1:7">
      <c r="A123" s="78" t="s">
        <v>221</v>
      </c>
      <c r="B123" s="78" t="s">
        <v>435</v>
      </c>
      <c r="C123" s="79">
        <f t="shared" si="1"/>
        <v>115.3</v>
      </c>
      <c r="D123" s="83" t="s">
        <v>232</v>
      </c>
      <c r="E123" s="83"/>
      <c r="F123" s="84"/>
      <c r="G123" s="84"/>
    </row>
    <row r="124" spans="1:7">
      <c r="A124" s="78"/>
      <c r="B124" s="78"/>
      <c r="C124" s="78"/>
      <c r="D124" s="83"/>
      <c r="E124" s="85">
        <v>0.0691949470934233</v>
      </c>
      <c r="F124" s="86">
        <v>0.0725622504369057</v>
      </c>
      <c r="G124" s="86">
        <v>0.213356968395472</v>
      </c>
    </row>
    <row r="125" ht="26.25" customHeight="1" spans="1:7">
      <c r="A125" s="87" t="s">
        <v>233</v>
      </c>
      <c r="B125" s="93">
        <v>25.7</v>
      </c>
      <c r="C125" s="78"/>
      <c r="D125" s="83"/>
      <c r="E125" s="103">
        <v>55.486</v>
      </c>
      <c r="F125" s="104">
        <v>54.2816666666667</v>
      </c>
      <c r="G125" s="105">
        <v>25.7</v>
      </c>
    </row>
    <row r="126" ht="27.75" customHeight="1" spans="1:7">
      <c r="A126" s="87" t="s">
        <v>224</v>
      </c>
      <c r="B126" s="93">
        <v>57.8</v>
      </c>
      <c r="C126" s="78"/>
      <c r="D126" s="83"/>
      <c r="E126" s="93"/>
      <c r="F126" s="94"/>
      <c r="G126" s="94"/>
    </row>
    <row r="127" ht="37.5" customHeight="1" spans="1:7">
      <c r="A127" s="106" t="s">
        <v>225</v>
      </c>
      <c r="B127" s="89">
        <v>23.12</v>
      </c>
      <c r="C127" s="78"/>
      <c r="D127" s="83"/>
      <c r="E127" s="103">
        <v>33.2916</v>
      </c>
      <c r="F127" s="104">
        <v>32.569</v>
      </c>
      <c r="G127" s="104">
        <v>15.42</v>
      </c>
    </row>
    <row r="129" ht="29.65" customHeight="1" spans="1:2">
      <c r="A129" s="87" t="s">
        <v>224</v>
      </c>
      <c r="B129">
        <f>B126</f>
        <v>57.8</v>
      </c>
    </row>
    <row r="130" spans="1:3">
      <c r="A130" s="531" t="s">
        <v>226</v>
      </c>
      <c r="B130" s="95">
        <f>AVERAGE(B78:B117)</f>
        <v>55.486</v>
      </c>
      <c r="C130" s="95"/>
    </row>
    <row r="131" spans="1:3">
      <c r="A131" s="531" t="s">
        <v>227</v>
      </c>
      <c r="B131" s="96">
        <f>AVERAGE(B83:B112)</f>
        <v>54.2816666666667</v>
      </c>
      <c r="C131" s="96"/>
    </row>
    <row r="132" spans="1:3">
      <c r="A132" s="531" t="s">
        <v>228</v>
      </c>
      <c r="B132" s="96">
        <f>AVERAGE(B89:B107)</f>
        <v>54.0884210526316</v>
      </c>
      <c r="C132" s="96"/>
    </row>
    <row r="134" spans="1:7">
      <c r="A134" s="83" t="s">
        <v>165</v>
      </c>
      <c r="B134" s="83" t="s">
        <v>347</v>
      </c>
      <c r="C134" s="83"/>
      <c r="D134" s="83"/>
      <c r="E134" s="86">
        <f>(1-E189)^(1/3)-1</f>
        <v>-0.0322665312359045</v>
      </c>
      <c r="F134" s="86">
        <f>(1-F189)^(1/3)-1</f>
        <v>-0.0387932185903986</v>
      </c>
      <c r="G134" s="86"/>
    </row>
    <row r="135" ht="48" spans="1:7">
      <c r="A135" s="83"/>
      <c r="B135" s="83" t="s">
        <v>167</v>
      </c>
      <c r="C135" s="107"/>
      <c r="D135" s="83" t="s">
        <v>168</v>
      </c>
      <c r="E135" s="83" t="s">
        <v>169</v>
      </c>
      <c r="F135" s="84" t="s">
        <v>169</v>
      </c>
      <c r="G135" s="84"/>
    </row>
    <row r="136" spans="1:7">
      <c r="A136" s="83"/>
      <c r="B136" s="83" t="s">
        <v>235</v>
      </c>
      <c r="C136" s="107"/>
      <c r="D136" s="83" t="s">
        <v>171</v>
      </c>
      <c r="E136" s="83" t="s">
        <v>171</v>
      </c>
      <c r="F136" s="84" t="s">
        <v>171</v>
      </c>
      <c r="G136" s="84"/>
    </row>
    <row r="137" spans="1:7">
      <c r="A137" s="108">
        <v>1</v>
      </c>
      <c r="B137" s="109">
        <v>2</v>
      </c>
      <c r="C137" s="76"/>
      <c r="D137" s="109">
        <v>3</v>
      </c>
      <c r="E137" s="109">
        <v>4</v>
      </c>
      <c r="F137" s="110">
        <v>5</v>
      </c>
      <c r="G137" s="110"/>
    </row>
    <row r="138" spans="1:7">
      <c r="A138" s="530" t="s">
        <v>172</v>
      </c>
      <c r="B138" s="111">
        <v>0.01</v>
      </c>
      <c r="C138" s="112">
        <v>0</v>
      </c>
      <c r="D138" s="113">
        <v>0</v>
      </c>
      <c r="E138" s="80">
        <v>0</v>
      </c>
      <c r="F138" s="81">
        <v>0</v>
      </c>
      <c r="G138" s="81">
        <v>0</v>
      </c>
    </row>
    <row r="139" spans="1:7">
      <c r="A139" s="530" t="s">
        <v>173</v>
      </c>
      <c r="B139" s="111">
        <v>0.01</v>
      </c>
      <c r="C139" s="79">
        <f>B138</f>
        <v>0.01</v>
      </c>
      <c r="D139" s="113">
        <v>0</v>
      </c>
      <c r="E139" s="80">
        <v>0</v>
      </c>
      <c r="F139" s="81">
        <v>0</v>
      </c>
      <c r="G139" s="81">
        <v>0</v>
      </c>
    </row>
    <row r="140" spans="1:7">
      <c r="A140" s="530" t="s">
        <v>174</v>
      </c>
      <c r="B140" s="111">
        <v>0.01</v>
      </c>
      <c r="C140" s="79">
        <f t="shared" ref="C140:C188" si="2">B139</f>
        <v>0.01</v>
      </c>
      <c r="D140" s="113">
        <v>0</v>
      </c>
      <c r="E140" s="80">
        <v>0</v>
      </c>
      <c r="F140" s="81">
        <v>0</v>
      </c>
      <c r="G140" s="81">
        <v>0</v>
      </c>
    </row>
    <row r="141" spans="1:7">
      <c r="A141" s="530" t="s">
        <v>175</v>
      </c>
      <c r="B141" s="111">
        <v>0.01</v>
      </c>
      <c r="C141" s="79">
        <f t="shared" si="2"/>
        <v>0.01</v>
      </c>
      <c r="D141" s="113">
        <v>0</v>
      </c>
      <c r="E141" s="80">
        <v>0</v>
      </c>
      <c r="F141" s="81">
        <v>0</v>
      </c>
      <c r="G141" s="81">
        <v>0</v>
      </c>
    </row>
    <row r="142" spans="1:7">
      <c r="A142" s="530" t="s">
        <v>176</v>
      </c>
      <c r="B142" s="111">
        <v>0.01</v>
      </c>
      <c r="C142" s="79">
        <f t="shared" si="2"/>
        <v>0.01</v>
      </c>
      <c r="D142" s="113">
        <v>0</v>
      </c>
      <c r="E142" s="80">
        <v>0</v>
      </c>
      <c r="F142" s="81">
        <v>0</v>
      </c>
      <c r="G142" s="81">
        <v>0</v>
      </c>
    </row>
    <row r="143" spans="1:7">
      <c r="A143" s="530" t="s">
        <v>177</v>
      </c>
      <c r="B143" s="111">
        <v>0.02</v>
      </c>
      <c r="C143" s="79">
        <f t="shared" si="2"/>
        <v>0.01</v>
      </c>
      <c r="D143" s="113">
        <v>0</v>
      </c>
      <c r="E143" s="80">
        <v>0</v>
      </c>
      <c r="F143" s="81">
        <v>0</v>
      </c>
      <c r="G143" s="81">
        <v>0</v>
      </c>
    </row>
    <row r="144" spans="1:7">
      <c r="A144" s="530" t="s">
        <v>178</v>
      </c>
      <c r="B144" s="111">
        <v>0.02</v>
      </c>
      <c r="C144" s="79">
        <f t="shared" si="2"/>
        <v>0.02</v>
      </c>
      <c r="D144" s="113">
        <v>0</v>
      </c>
      <c r="E144" s="80">
        <v>0</v>
      </c>
      <c r="F144" s="81">
        <v>0</v>
      </c>
      <c r="G144" s="81">
        <v>0</v>
      </c>
    </row>
    <row r="145" spans="1:7">
      <c r="A145" s="78" t="s">
        <v>179</v>
      </c>
      <c r="B145" s="111">
        <v>0.02</v>
      </c>
      <c r="C145" s="79">
        <f t="shared" si="2"/>
        <v>0.02</v>
      </c>
      <c r="D145" s="113">
        <v>0</v>
      </c>
      <c r="E145" s="80">
        <v>0</v>
      </c>
      <c r="F145" s="81">
        <v>0</v>
      </c>
      <c r="G145" s="81">
        <v>0</v>
      </c>
    </row>
    <row r="146" spans="1:7">
      <c r="A146" s="78" t="s">
        <v>180</v>
      </c>
      <c r="B146" s="111">
        <v>0.03</v>
      </c>
      <c r="C146" s="79">
        <f t="shared" si="2"/>
        <v>0.02</v>
      </c>
      <c r="D146" s="113">
        <v>0</v>
      </c>
      <c r="E146" s="80">
        <v>0</v>
      </c>
      <c r="F146" s="81">
        <v>0</v>
      </c>
      <c r="G146" s="81">
        <v>0</v>
      </c>
    </row>
    <row r="147" spans="1:7">
      <c r="A147" s="78" t="s">
        <v>181</v>
      </c>
      <c r="B147" s="111">
        <v>0.04</v>
      </c>
      <c r="C147" s="79">
        <f t="shared" si="2"/>
        <v>0.03</v>
      </c>
      <c r="D147" s="113">
        <v>0</v>
      </c>
      <c r="E147" s="80">
        <v>0</v>
      </c>
      <c r="F147" s="81">
        <v>0</v>
      </c>
      <c r="G147" s="81">
        <v>0</v>
      </c>
    </row>
    <row r="148" spans="1:7">
      <c r="A148" s="78" t="s">
        <v>182</v>
      </c>
      <c r="B148" s="111">
        <v>0.06</v>
      </c>
      <c r="C148" s="79">
        <f t="shared" si="2"/>
        <v>0.04</v>
      </c>
      <c r="D148" s="113">
        <v>0</v>
      </c>
      <c r="E148" s="80">
        <v>0</v>
      </c>
      <c r="F148" s="81">
        <v>0</v>
      </c>
      <c r="G148" s="81">
        <v>0</v>
      </c>
    </row>
    <row r="149" spans="1:7">
      <c r="A149" s="78" t="s">
        <v>183</v>
      </c>
      <c r="B149" s="111">
        <v>0.07</v>
      </c>
      <c r="C149" s="79">
        <f t="shared" si="2"/>
        <v>0.06</v>
      </c>
      <c r="D149" s="113">
        <v>0</v>
      </c>
      <c r="E149" s="80">
        <v>0</v>
      </c>
      <c r="F149" s="81">
        <v>0</v>
      </c>
      <c r="G149" s="81">
        <v>0</v>
      </c>
    </row>
    <row r="150" spans="1:7">
      <c r="A150" s="78" t="s">
        <v>184</v>
      </c>
      <c r="B150" s="111">
        <v>0.08</v>
      </c>
      <c r="C150" s="79">
        <f t="shared" si="2"/>
        <v>0.07</v>
      </c>
      <c r="D150" s="113">
        <v>0</v>
      </c>
      <c r="E150" s="80">
        <v>0</v>
      </c>
      <c r="F150" s="81">
        <v>0</v>
      </c>
      <c r="G150" s="81">
        <v>0</v>
      </c>
    </row>
    <row r="151" spans="1:7">
      <c r="A151" s="78" t="s">
        <v>185</v>
      </c>
      <c r="B151" s="111">
        <v>0.11</v>
      </c>
      <c r="C151" s="79">
        <f t="shared" si="2"/>
        <v>0.08</v>
      </c>
      <c r="D151" s="113">
        <v>0</v>
      </c>
      <c r="E151" s="80">
        <v>0</v>
      </c>
      <c r="F151" s="81">
        <v>0</v>
      </c>
      <c r="G151" s="81">
        <v>0</v>
      </c>
    </row>
    <row r="152" spans="1:7">
      <c r="A152" s="78" t="s">
        <v>186</v>
      </c>
      <c r="B152" s="111">
        <v>0.12</v>
      </c>
      <c r="C152" s="79">
        <f t="shared" si="2"/>
        <v>0.11</v>
      </c>
      <c r="D152" s="113">
        <v>0</v>
      </c>
      <c r="E152" s="80">
        <v>0</v>
      </c>
      <c r="F152" s="81">
        <v>0</v>
      </c>
      <c r="G152" s="81">
        <v>0</v>
      </c>
    </row>
    <row r="153" spans="1:7">
      <c r="A153" s="78" t="s">
        <v>187</v>
      </c>
      <c r="B153" s="111">
        <v>0.15</v>
      </c>
      <c r="C153" s="79">
        <f t="shared" si="2"/>
        <v>0.12</v>
      </c>
      <c r="D153" s="113">
        <v>0</v>
      </c>
      <c r="E153" s="80">
        <v>0</v>
      </c>
      <c r="F153" s="81">
        <v>0</v>
      </c>
      <c r="G153" s="81">
        <v>0</v>
      </c>
    </row>
    <row r="154" spans="1:7">
      <c r="A154" s="78" t="s">
        <v>188</v>
      </c>
      <c r="B154" s="111">
        <v>0.19</v>
      </c>
      <c r="C154" s="79">
        <f t="shared" si="2"/>
        <v>0.15</v>
      </c>
      <c r="D154" s="113">
        <v>0</v>
      </c>
      <c r="E154" s="80">
        <v>0</v>
      </c>
      <c r="F154" s="81">
        <v>0</v>
      </c>
      <c r="G154" s="81">
        <v>0</v>
      </c>
    </row>
    <row r="155" spans="1:7">
      <c r="A155" s="78" t="s">
        <v>189</v>
      </c>
      <c r="B155" s="111">
        <v>0.19</v>
      </c>
      <c r="C155" s="79">
        <f t="shared" si="2"/>
        <v>0.19</v>
      </c>
      <c r="D155" s="113">
        <v>0</v>
      </c>
      <c r="E155" s="80">
        <v>0</v>
      </c>
      <c r="F155" s="81">
        <v>0</v>
      </c>
      <c r="G155" s="81">
        <v>0</v>
      </c>
    </row>
    <row r="156" spans="1:7">
      <c r="A156" s="78" t="s">
        <v>190</v>
      </c>
      <c r="B156" s="111">
        <v>0.23</v>
      </c>
      <c r="C156" s="79">
        <f t="shared" si="2"/>
        <v>0.19</v>
      </c>
      <c r="D156" s="113">
        <v>0</v>
      </c>
      <c r="E156" s="80">
        <v>0</v>
      </c>
      <c r="F156" s="81">
        <v>0</v>
      </c>
      <c r="G156" s="81">
        <v>0</v>
      </c>
    </row>
    <row r="157" spans="1:7">
      <c r="A157" s="78" t="s">
        <v>191</v>
      </c>
      <c r="B157" s="111">
        <v>0.27</v>
      </c>
      <c r="C157" s="79">
        <f t="shared" si="2"/>
        <v>0.23</v>
      </c>
      <c r="D157" s="113">
        <v>0</v>
      </c>
      <c r="E157" s="80">
        <v>0</v>
      </c>
      <c r="F157" s="81">
        <v>0</v>
      </c>
      <c r="G157" s="81">
        <v>0</v>
      </c>
    </row>
    <row r="158" spans="1:7">
      <c r="A158" s="78" t="s">
        <v>192</v>
      </c>
      <c r="B158" s="111">
        <v>0.29</v>
      </c>
      <c r="C158" s="79">
        <f t="shared" si="2"/>
        <v>0.27</v>
      </c>
      <c r="D158" s="113">
        <v>0</v>
      </c>
      <c r="E158" s="80">
        <v>0</v>
      </c>
      <c r="F158" s="81">
        <v>0</v>
      </c>
      <c r="G158" s="81">
        <v>0</v>
      </c>
    </row>
    <row r="159" spans="1:7">
      <c r="A159" s="78" t="s">
        <v>193</v>
      </c>
      <c r="B159" s="111">
        <v>0.37</v>
      </c>
      <c r="C159" s="79">
        <f t="shared" si="2"/>
        <v>0.29</v>
      </c>
      <c r="D159" s="113">
        <v>0</v>
      </c>
      <c r="E159" s="80">
        <v>0</v>
      </c>
      <c r="F159" s="81">
        <v>0</v>
      </c>
      <c r="G159" s="81">
        <v>0</v>
      </c>
    </row>
    <row r="160" spans="1:7">
      <c r="A160" s="78" t="s">
        <v>194</v>
      </c>
      <c r="B160" s="111">
        <v>0.42</v>
      </c>
      <c r="C160" s="79">
        <f t="shared" si="2"/>
        <v>0.37</v>
      </c>
      <c r="D160" s="113">
        <v>0</v>
      </c>
      <c r="E160" s="80">
        <v>0</v>
      </c>
      <c r="F160" s="81">
        <v>0</v>
      </c>
      <c r="G160" s="81">
        <v>0</v>
      </c>
    </row>
    <row r="161" spans="1:7">
      <c r="A161" s="78" t="s">
        <v>195</v>
      </c>
      <c r="B161" s="111">
        <v>0.44</v>
      </c>
      <c r="C161" s="79">
        <f t="shared" si="2"/>
        <v>0.42</v>
      </c>
      <c r="D161" s="113">
        <v>0</v>
      </c>
      <c r="E161" s="80">
        <v>0</v>
      </c>
      <c r="F161" s="81">
        <v>0</v>
      </c>
      <c r="G161" s="81">
        <v>0</v>
      </c>
    </row>
    <row r="162" spans="1:7">
      <c r="A162" s="78" t="s">
        <v>196</v>
      </c>
      <c r="B162" s="111">
        <v>0.48</v>
      </c>
      <c r="C162" s="79">
        <f t="shared" si="2"/>
        <v>0.44</v>
      </c>
      <c r="D162" s="113">
        <v>0</v>
      </c>
      <c r="E162" s="80">
        <v>0</v>
      </c>
      <c r="F162" s="81">
        <v>0.00533333333333334</v>
      </c>
      <c r="G162" s="81">
        <v>0</v>
      </c>
    </row>
    <row r="163" spans="1:7">
      <c r="A163" s="78" t="s">
        <v>197</v>
      </c>
      <c r="B163" s="111">
        <v>0.51</v>
      </c>
      <c r="C163" s="79">
        <f t="shared" si="2"/>
        <v>0.48</v>
      </c>
      <c r="D163" s="113">
        <v>0</v>
      </c>
      <c r="E163" s="80">
        <v>0</v>
      </c>
      <c r="F163" s="81">
        <v>0.0109019607843137</v>
      </c>
      <c r="G163" s="81">
        <v>0</v>
      </c>
    </row>
    <row r="164" spans="1:7">
      <c r="A164" s="78" t="s">
        <v>198</v>
      </c>
      <c r="B164" s="111">
        <v>0.54</v>
      </c>
      <c r="C164" s="79">
        <f t="shared" si="2"/>
        <v>0.51</v>
      </c>
      <c r="D164" s="113">
        <v>0</v>
      </c>
      <c r="E164" s="80">
        <v>0</v>
      </c>
      <c r="F164" s="81">
        <v>0.0158518518518519</v>
      </c>
      <c r="G164" s="81">
        <v>0</v>
      </c>
    </row>
    <row r="165" spans="1:7">
      <c r="A165" s="78" t="s">
        <v>199</v>
      </c>
      <c r="B165" s="111">
        <v>0.62</v>
      </c>
      <c r="C165" s="79">
        <f t="shared" si="2"/>
        <v>0.54</v>
      </c>
      <c r="D165" s="113">
        <v>0</v>
      </c>
      <c r="E165" s="80">
        <v>0</v>
      </c>
      <c r="F165" s="81">
        <v>0.0267096774193548</v>
      </c>
      <c r="G165" s="81">
        <v>0</v>
      </c>
    </row>
    <row r="166" spans="1:7">
      <c r="A166" s="78" t="s">
        <v>200</v>
      </c>
      <c r="B166" s="111">
        <v>0.71</v>
      </c>
      <c r="C166" s="79">
        <f t="shared" si="2"/>
        <v>0.62</v>
      </c>
      <c r="D166" s="113">
        <v>0.121971830985915</v>
      </c>
      <c r="E166" s="80">
        <v>0.0121971830985915</v>
      </c>
      <c r="F166" s="81">
        <v>0.036</v>
      </c>
      <c r="G166" s="81">
        <v>0</v>
      </c>
    </row>
    <row r="167" spans="1:7">
      <c r="A167" s="78" t="s">
        <v>201</v>
      </c>
      <c r="B167" s="111">
        <v>0.76</v>
      </c>
      <c r="C167" s="79">
        <f t="shared" si="2"/>
        <v>0.71</v>
      </c>
      <c r="D167" s="113">
        <v>0.179736842105263</v>
      </c>
      <c r="E167" s="80">
        <v>0.0179736842105263</v>
      </c>
      <c r="F167" s="81">
        <v>0.0412631578947369</v>
      </c>
      <c r="G167" s="81">
        <v>0</v>
      </c>
    </row>
    <row r="168" spans="1:7">
      <c r="A168" s="78" t="s">
        <v>202</v>
      </c>
      <c r="B168" s="111">
        <v>0.8</v>
      </c>
      <c r="C168" s="79">
        <f t="shared" si="2"/>
        <v>0.76</v>
      </c>
      <c r="D168" s="113">
        <v>0.22075</v>
      </c>
      <c r="E168" s="80">
        <v>0.022075</v>
      </c>
      <c r="F168" s="81">
        <v>0.0592</v>
      </c>
      <c r="G168" s="81">
        <v>0</v>
      </c>
    </row>
    <row r="169" spans="1:7">
      <c r="A169" s="78" t="s">
        <v>203</v>
      </c>
      <c r="B169" s="111">
        <v>0.89</v>
      </c>
      <c r="C169" s="79">
        <f t="shared" si="2"/>
        <v>0.8</v>
      </c>
      <c r="D169" s="113">
        <v>0.299550561797753</v>
      </c>
      <c r="E169" s="80">
        <v>0.0299550561797753</v>
      </c>
      <c r="F169" s="81">
        <v>0.0936629213483146</v>
      </c>
      <c r="G169" s="81">
        <v>0</v>
      </c>
    </row>
    <row r="170" spans="1:7">
      <c r="A170" s="78" t="s">
        <v>204</v>
      </c>
      <c r="B170" s="111">
        <v>1.12</v>
      </c>
      <c r="C170" s="79">
        <f t="shared" si="2"/>
        <v>0.89</v>
      </c>
      <c r="D170" s="113">
        <v>0.443392857142857</v>
      </c>
      <c r="E170" s="80">
        <v>0.0660357142857143</v>
      </c>
      <c r="F170" s="81">
        <v>0.156571428571429</v>
      </c>
      <c r="G170" s="81">
        <v>0</v>
      </c>
    </row>
    <row r="171" spans="1:7">
      <c r="A171" s="78" t="s">
        <v>205</v>
      </c>
      <c r="B171" s="111">
        <v>1.33</v>
      </c>
      <c r="C171" s="79">
        <f t="shared" si="2"/>
        <v>1.12</v>
      </c>
      <c r="D171" s="113">
        <v>0.531278195488722</v>
      </c>
      <c r="E171" s="80">
        <v>0.118766917293233</v>
      </c>
      <c r="F171" s="81">
        <v>0.195007518796992</v>
      </c>
      <c r="G171" s="81">
        <v>0</v>
      </c>
    </row>
    <row r="172" spans="1:7">
      <c r="A172" s="78" t="s">
        <v>206</v>
      </c>
      <c r="B172" s="111">
        <v>1.48</v>
      </c>
      <c r="C172" s="79">
        <f t="shared" si="2"/>
        <v>1.33</v>
      </c>
      <c r="D172" s="113">
        <v>0.578783783783784</v>
      </c>
      <c r="E172" s="80">
        <v>0.14727027027027</v>
      </c>
      <c r="F172" s="81">
        <v>0.215783783783784</v>
      </c>
      <c r="G172" s="81">
        <v>0</v>
      </c>
    </row>
    <row r="173" spans="1:7">
      <c r="A173" s="78" t="s">
        <v>207</v>
      </c>
      <c r="B173" s="111">
        <v>1.58</v>
      </c>
      <c r="C173" s="79">
        <f t="shared" si="2"/>
        <v>1.48</v>
      </c>
      <c r="D173" s="113">
        <v>0.605443037974684</v>
      </c>
      <c r="E173" s="80">
        <v>0.16326582278481</v>
      </c>
      <c r="F173" s="81">
        <v>0.227443037974684</v>
      </c>
      <c r="G173" s="81">
        <v>0</v>
      </c>
    </row>
    <row r="174" spans="1:7">
      <c r="A174" s="78" t="s">
        <v>208</v>
      </c>
      <c r="B174" s="111">
        <v>1.79</v>
      </c>
      <c r="C174" s="79">
        <f t="shared" si="2"/>
        <v>1.58</v>
      </c>
      <c r="D174" s="113">
        <v>0.651731843575419</v>
      </c>
      <c r="E174" s="80">
        <v>0.191039106145251</v>
      </c>
      <c r="F174" s="81">
        <v>0.247687150837989</v>
      </c>
      <c r="G174" s="81">
        <v>0</v>
      </c>
    </row>
    <row r="175" spans="1:7">
      <c r="A175" s="78" t="s">
        <v>209</v>
      </c>
      <c r="B175" s="111">
        <v>2.12</v>
      </c>
      <c r="C175" s="79">
        <f t="shared" si="2"/>
        <v>1.79</v>
      </c>
      <c r="D175" s="113">
        <v>0.705943396226415</v>
      </c>
      <c r="E175" s="80">
        <v>0.223566037735849</v>
      </c>
      <c r="F175" s="81">
        <v>0.271396226415094</v>
      </c>
      <c r="G175" s="81">
        <v>0</v>
      </c>
    </row>
    <row r="176" spans="1:7">
      <c r="A176" s="78" t="s">
        <v>210</v>
      </c>
      <c r="B176" s="111">
        <v>2.36</v>
      </c>
      <c r="C176" s="79">
        <f t="shared" si="2"/>
        <v>2.12</v>
      </c>
      <c r="D176" s="113">
        <v>0.735847457627119</v>
      </c>
      <c r="E176" s="80">
        <v>0.241508474576271</v>
      </c>
      <c r="F176" s="81">
        <v>0.284474576271186</v>
      </c>
      <c r="G176" s="81">
        <v>0</v>
      </c>
    </row>
    <row r="177" spans="1:7">
      <c r="A177" s="78" t="s">
        <v>211</v>
      </c>
      <c r="B177" s="111">
        <v>2.64</v>
      </c>
      <c r="C177" s="79">
        <f t="shared" si="2"/>
        <v>2.36</v>
      </c>
      <c r="D177" s="113">
        <v>0.763863636363636</v>
      </c>
      <c r="E177" s="80">
        <v>0.258318181818182</v>
      </c>
      <c r="F177" s="81">
        <v>0.296727272727273</v>
      </c>
      <c r="G177" s="81">
        <v>0</v>
      </c>
    </row>
    <row r="178" spans="1:7">
      <c r="A178" s="78" t="s">
        <v>212</v>
      </c>
      <c r="B178" s="111">
        <v>2.93</v>
      </c>
      <c r="C178" s="79">
        <f t="shared" si="2"/>
        <v>2.64</v>
      </c>
      <c r="D178" s="113">
        <v>0.787235494880546</v>
      </c>
      <c r="E178" s="80">
        <v>0.272341296928328</v>
      </c>
      <c r="F178" s="81">
        <v>0.306948805460751</v>
      </c>
      <c r="G178" s="81">
        <v>0</v>
      </c>
    </row>
    <row r="179" spans="1:7">
      <c r="A179" s="78" t="s">
        <v>213</v>
      </c>
      <c r="B179" s="111">
        <v>3.34</v>
      </c>
      <c r="C179" s="79">
        <f t="shared" si="2"/>
        <v>2.93</v>
      </c>
      <c r="D179" s="113">
        <v>0.813353293413174</v>
      </c>
      <c r="E179" s="80">
        <v>0.288011976047904</v>
      </c>
      <c r="F179" s="81">
        <v>0.31837125748503</v>
      </c>
      <c r="G179" s="81">
        <v>0</v>
      </c>
    </row>
    <row r="180" spans="1:7">
      <c r="A180" s="78" t="s">
        <v>214</v>
      </c>
      <c r="B180" s="111">
        <v>3.75</v>
      </c>
      <c r="C180" s="79">
        <f t="shared" si="2"/>
        <v>3.34</v>
      </c>
      <c r="D180" s="113">
        <v>0.83376</v>
      </c>
      <c r="E180" s="80">
        <v>0.300256</v>
      </c>
      <c r="F180" s="81">
        <v>0.327296</v>
      </c>
      <c r="G180" s="81">
        <v>0</v>
      </c>
    </row>
    <row r="181" spans="1:7">
      <c r="A181" s="78" t="s">
        <v>215</v>
      </c>
      <c r="B181" s="111">
        <v>3.99</v>
      </c>
      <c r="C181" s="79">
        <f t="shared" si="2"/>
        <v>3.75</v>
      </c>
      <c r="D181" s="113">
        <v>0.843759398496241</v>
      </c>
      <c r="E181" s="80">
        <v>0.306255639097744</v>
      </c>
      <c r="F181" s="81">
        <v>0.331669172932331</v>
      </c>
      <c r="G181" s="81">
        <v>0</v>
      </c>
    </row>
    <row r="182" spans="1:7">
      <c r="A182" s="78" t="s">
        <v>216</v>
      </c>
      <c r="B182" s="111">
        <v>4.7</v>
      </c>
      <c r="C182" s="79">
        <f t="shared" si="2"/>
        <v>3.99</v>
      </c>
      <c r="D182" s="113">
        <v>0.86736170212766</v>
      </c>
      <c r="E182" s="80">
        <v>0.320417021276596</v>
      </c>
      <c r="F182" s="81">
        <v>0.341991489361702</v>
      </c>
      <c r="G182" s="81">
        <v>0</v>
      </c>
    </row>
    <row r="183" spans="1:7">
      <c r="A183" s="78" t="s">
        <v>217</v>
      </c>
      <c r="B183" s="111">
        <v>5</v>
      </c>
      <c r="C183" s="79">
        <f t="shared" si="2"/>
        <v>4.7</v>
      </c>
      <c r="D183" s="113">
        <v>0.87532</v>
      </c>
      <c r="E183" s="80">
        <v>0.325192</v>
      </c>
      <c r="F183" s="81">
        <v>0.345472</v>
      </c>
      <c r="G183" s="81">
        <v>0</v>
      </c>
    </row>
    <row r="184" spans="1:7">
      <c r="A184" s="78" t="s">
        <v>218</v>
      </c>
      <c r="B184" s="111">
        <v>5.64</v>
      </c>
      <c r="C184" s="79">
        <f t="shared" si="2"/>
        <v>5</v>
      </c>
      <c r="D184" s="113">
        <v>0.889468085106383</v>
      </c>
      <c r="E184" s="80">
        <v>0.33368085106383</v>
      </c>
      <c r="F184" s="81">
        <v>0.351659574468085</v>
      </c>
      <c r="G184" s="81">
        <v>0</v>
      </c>
    </row>
    <row r="185" spans="1:7">
      <c r="A185" s="78" t="s">
        <v>219</v>
      </c>
      <c r="B185" s="111">
        <v>6.61</v>
      </c>
      <c r="C185" s="79">
        <f t="shared" si="2"/>
        <v>5.64</v>
      </c>
      <c r="D185" s="113">
        <v>0.905688350983359</v>
      </c>
      <c r="E185" s="80">
        <v>0.343413010590015</v>
      </c>
      <c r="F185" s="81">
        <v>0.358753403933434</v>
      </c>
      <c r="G185" s="81">
        <v>0</v>
      </c>
    </row>
    <row r="186" spans="1:7">
      <c r="A186" s="78" t="s">
        <v>220</v>
      </c>
      <c r="B186" s="111">
        <v>7.26</v>
      </c>
      <c r="C186" s="79">
        <f t="shared" si="2"/>
        <v>6.61</v>
      </c>
      <c r="D186" s="113">
        <v>0.914132231404959</v>
      </c>
      <c r="E186" s="80">
        <v>0.348479338842975</v>
      </c>
      <c r="F186" s="81">
        <v>0.362446280991736</v>
      </c>
      <c r="G186" s="81">
        <v>0</v>
      </c>
    </row>
    <row r="187" spans="1:7">
      <c r="A187" s="78" t="s">
        <v>221</v>
      </c>
      <c r="B187" s="111">
        <v>8.4</v>
      </c>
      <c r="C187" s="79">
        <f t="shared" si="2"/>
        <v>7.26</v>
      </c>
      <c r="D187" s="113">
        <v>0.925785714285714</v>
      </c>
      <c r="E187" s="80">
        <v>0.355471428571429</v>
      </c>
      <c r="F187" s="81">
        <v>0.367542857142857</v>
      </c>
      <c r="G187" s="81">
        <v>0.01</v>
      </c>
    </row>
    <row r="188" spans="1:7">
      <c r="A188" s="78" t="s">
        <v>221</v>
      </c>
      <c r="B188" s="78" t="s">
        <v>436</v>
      </c>
      <c r="C188" s="79">
        <f t="shared" si="2"/>
        <v>8.4</v>
      </c>
      <c r="D188" s="114"/>
      <c r="E188" s="83"/>
      <c r="F188" s="84"/>
      <c r="G188" s="84"/>
    </row>
    <row r="189" ht="15.75" spans="1:7">
      <c r="A189" s="115"/>
      <c r="B189" s="78"/>
      <c r="C189" s="116"/>
      <c r="D189" s="117"/>
      <c r="E189" s="85">
        <v>0.0937098002163459</v>
      </c>
      <c r="F189" s="86">
        <v>0.111923294795725</v>
      </c>
      <c r="G189" s="86">
        <v>0.0002</v>
      </c>
    </row>
    <row r="190" ht="25.15" customHeight="1" spans="1:7">
      <c r="A190" s="87" t="s">
        <v>233</v>
      </c>
      <c r="B190" s="118">
        <v>8.9</v>
      </c>
      <c r="C190" s="116"/>
      <c r="D190" s="117"/>
      <c r="E190" s="119">
        <v>1.039</v>
      </c>
      <c r="F190" s="90">
        <v>0.757333333333333</v>
      </c>
      <c r="G190" s="120">
        <v>8.9</v>
      </c>
    </row>
    <row r="191" ht="25.15" customHeight="1" spans="1:7">
      <c r="A191" s="87" t="s">
        <v>224</v>
      </c>
      <c r="B191" s="93">
        <v>1.55</v>
      </c>
      <c r="C191" s="116"/>
      <c r="D191" s="83"/>
      <c r="E191" s="93"/>
      <c r="F191" s="94"/>
      <c r="G191" s="94"/>
    </row>
    <row r="192" ht="37.5" customHeight="1" spans="1:7">
      <c r="A192" s="106" t="s">
        <v>225</v>
      </c>
      <c r="B192" s="93">
        <v>0.93</v>
      </c>
      <c r="C192" s="116"/>
      <c r="D192" s="83"/>
      <c r="E192" s="93">
        <v>0.6234</v>
      </c>
      <c r="F192" s="94">
        <v>0.4544</v>
      </c>
      <c r="G192" s="94">
        <v>5.34</v>
      </c>
    </row>
    <row r="195" spans="1:3">
      <c r="A195" s="531" t="s">
        <v>226</v>
      </c>
      <c r="B195" s="95">
        <f>AVERAGE(B143:B182)</f>
        <v>1.039</v>
      </c>
      <c r="C195" s="95"/>
    </row>
    <row r="196" spans="1:3">
      <c r="A196" s="531" t="s">
        <v>227</v>
      </c>
      <c r="B196" s="96">
        <f>AVERAGE(B148:B177)</f>
        <v>0.757333333333333</v>
      </c>
      <c r="C196" s="96"/>
    </row>
    <row r="197" spans="1:3">
      <c r="A197" s="531" t="s">
        <v>228</v>
      </c>
      <c r="B197" s="96">
        <f>AVERAGE(B154:B172)</f>
        <v>0.612631578947368</v>
      </c>
      <c r="C197" s="96"/>
    </row>
    <row r="200" customHeight="1" spans="1:7">
      <c r="A200" s="97" t="s">
        <v>165</v>
      </c>
      <c r="B200" s="83" t="s">
        <v>234</v>
      </c>
      <c r="C200" s="83"/>
      <c r="D200" s="83"/>
      <c r="E200" s="86">
        <f>(1-E255)^(1/3)-1</f>
        <v>-0.0338549880992454</v>
      </c>
      <c r="F200" s="86">
        <f>(1-F255)^(1/3)-1</f>
        <v>-0.0388860016495544</v>
      </c>
      <c r="G200" s="86"/>
    </row>
    <row r="201" ht="46.15" customHeight="1" spans="1:7">
      <c r="A201" s="99"/>
      <c r="B201" s="93" t="s">
        <v>167</v>
      </c>
      <c r="C201" s="83"/>
      <c r="D201" s="93" t="s">
        <v>168</v>
      </c>
      <c r="E201" s="83" t="s">
        <v>169</v>
      </c>
      <c r="F201" s="84" t="s">
        <v>169</v>
      </c>
      <c r="G201" s="84"/>
    </row>
    <row r="202" spans="1:7">
      <c r="A202" s="100"/>
      <c r="B202" s="83" t="s">
        <v>235</v>
      </c>
      <c r="C202" s="83"/>
      <c r="D202" s="83" t="s">
        <v>171</v>
      </c>
      <c r="E202" s="532" t="s">
        <v>227</v>
      </c>
      <c r="F202" s="122"/>
      <c r="G202" s="123"/>
    </row>
    <row r="203" spans="1:7">
      <c r="A203" s="75">
        <v>1</v>
      </c>
      <c r="B203" s="76">
        <v>2</v>
      </c>
      <c r="C203" s="76"/>
      <c r="D203" s="76">
        <v>3</v>
      </c>
      <c r="E203" s="76">
        <v>4</v>
      </c>
      <c r="F203" s="77">
        <v>5</v>
      </c>
      <c r="G203" s="77"/>
    </row>
    <row r="204" spans="1:7">
      <c r="A204" s="530" t="s">
        <v>172</v>
      </c>
      <c r="B204" s="124">
        <v>0.01</v>
      </c>
      <c r="C204" s="89">
        <v>0</v>
      </c>
      <c r="D204" s="80">
        <v>0</v>
      </c>
      <c r="E204" s="80">
        <v>0</v>
      </c>
      <c r="F204" s="81">
        <v>0</v>
      </c>
      <c r="G204" s="81">
        <v>0</v>
      </c>
    </row>
    <row r="205" spans="1:7">
      <c r="A205" s="530" t="s">
        <v>173</v>
      </c>
      <c r="B205" s="124">
        <v>0.02</v>
      </c>
      <c r="C205" s="79">
        <f>B204</f>
        <v>0.01</v>
      </c>
      <c r="D205" s="80">
        <v>0</v>
      </c>
      <c r="E205" s="80">
        <v>0</v>
      </c>
      <c r="F205" s="81">
        <v>0</v>
      </c>
      <c r="G205" s="81">
        <v>0</v>
      </c>
    </row>
    <row r="206" spans="1:7">
      <c r="A206" s="530" t="s">
        <v>174</v>
      </c>
      <c r="B206" s="124">
        <v>0.02</v>
      </c>
      <c r="C206" s="79">
        <f t="shared" ref="C206:C254" si="3">B205</f>
        <v>0.02</v>
      </c>
      <c r="D206" s="80">
        <v>0</v>
      </c>
      <c r="E206" s="80">
        <v>0</v>
      </c>
      <c r="F206" s="81">
        <v>0</v>
      </c>
      <c r="G206" s="81">
        <v>0</v>
      </c>
    </row>
    <row r="207" spans="1:7">
      <c r="A207" s="530" t="s">
        <v>175</v>
      </c>
      <c r="B207" s="124">
        <v>0.02</v>
      </c>
      <c r="C207" s="79">
        <f t="shared" si="3"/>
        <v>0.02</v>
      </c>
      <c r="D207" s="80">
        <v>0</v>
      </c>
      <c r="E207" s="80">
        <v>0</v>
      </c>
      <c r="F207" s="81">
        <v>0</v>
      </c>
      <c r="G207" s="81">
        <v>0</v>
      </c>
    </row>
    <row r="208" spans="1:7">
      <c r="A208" s="530" t="s">
        <v>176</v>
      </c>
      <c r="B208" s="124">
        <v>0.03</v>
      </c>
      <c r="C208" s="79">
        <f t="shared" si="3"/>
        <v>0.02</v>
      </c>
      <c r="D208" s="80">
        <v>0</v>
      </c>
      <c r="E208" s="80">
        <v>0</v>
      </c>
      <c r="F208" s="81">
        <v>0</v>
      </c>
      <c r="G208" s="81">
        <v>0</v>
      </c>
    </row>
    <row r="209" spans="1:7">
      <c r="A209" s="530" t="s">
        <v>177</v>
      </c>
      <c r="B209" s="124">
        <v>0.03</v>
      </c>
      <c r="C209" s="79">
        <f t="shared" si="3"/>
        <v>0.03</v>
      </c>
      <c r="D209" s="80">
        <v>0</v>
      </c>
      <c r="E209" s="80">
        <v>0</v>
      </c>
      <c r="F209" s="81">
        <v>0</v>
      </c>
      <c r="G209" s="81">
        <v>0</v>
      </c>
    </row>
    <row r="210" spans="1:7">
      <c r="A210" s="530" t="s">
        <v>178</v>
      </c>
      <c r="B210" s="124">
        <v>0.04</v>
      </c>
      <c r="C210" s="79">
        <f t="shared" si="3"/>
        <v>0.03</v>
      </c>
      <c r="D210" s="80">
        <v>0</v>
      </c>
      <c r="E210" s="80">
        <v>0</v>
      </c>
      <c r="F210" s="81">
        <v>0</v>
      </c>
      <c r="G210" s="81">
        <v>0</v>
      </c>
    </row>
    <row r="211" spans="1:7">
      <c r="A211" s="78" t="s">
        <v>179</v>
      </c>
      <c r="B211" s="124">
        <v>0.04</v>
      </c>
      <c r="C211" s="79">
        <f t="shared" si="3"/>
        <v>0.04</v>
      </c>
      <c r="D211" s="80">
        <v>0</v>
      </c>
      <c r="E211" s="80">
        <v>0</v>
      </c>
      <c r="F211" s="81">
        <v>0</v>
      </c>
      <c r="G211" s="81">
        <v>0</v>
      </c>
    </row>
    <row r="212" spans="1:7">
      <c r="A212" s="78" t="s">
        <v>180</v>
      </c>
      <c r="B212" s="124">
        <v>0.05</v>
      </c>
      <c r="C212" s="79">
        <f t="shared" si="3"/>
        <v>0.04</v>
      </c>
      <c r="D212" s="80">
        <v>0</v>
      </c>
      <c r="E212" s="80">
        <v>0</v>
      </c>
      <c r="F212" s="81">
        <v>0</v>
      </c>
      <c r="G212" s="81">
        <v>0</v>
      </c>
    </row>
    <row r="213" spans="1:7">
      <c r="A213" s="78" t="s">
        <v>181</v>
      </c>
      <c r="B213" s="124">
        <v>0.06</v>
      </c>
      <c r="C213" s="79">
        <f t="shared" si="3"/>
        <v>0.05</v>
      </c>
      <c r="D213" s="80">
        <v>0</v>
      </c>
      <c r="E213" s="80">
        <v>0</v>
      </c>
      <c r="F213" s="81">
        <v>0</v>
      </c>
      <c r="G213" s="81">
        <v>0</v>
      </c>
    </row>
    <row r="214" spans="1:7">
      <c r="A214" s="78" t="s">
        <v>182</v>
      </c>
      <c r="B214" s="124">
        <v>0.08</v>
      </c>
      <c r="C214" s="79">
        <f t="shared" si="3"/>
        <v>0.06</v>
      </c>
      <c r="D214" s="80">
        <v>0</v>
      </c>
      <c r="E214" s="80">
        <v>0</v>
      </c>
      <c r="F214" s="81">
        <v>0</v>
      </c>
      <c r="G214" s="81">
        <v>0</v>
      </c>
    </row>
    <row r="215" spans="1:7">
      <c r="A215" s="78" t="s">
        <v>183</v>
      </c>
      <c r="B215" s="124">
        <v>0.1</v>
      </c>
      <c r="C215" s="79">
        <f t="shared" si="3"/>
        <v>0.08</v>
      </c>
      <c r="D215" s="80">
        <v>0</v>
      </c>
      <c r="E215" s="80">
        <v>0</v>
      </c>
      <c r="F215" s="81">
        <v>0</v>
      </c>
      <c r="G215" s="81">
        <v>0</v>
      </c>
    </row>
    <row r="216" spans="1:7">
      <c r="A216" s="78" t="s">
        <v>184</v>
      </c>
      <c r="B216" s="124">
        <v>0.12</v>
      </c>
      <c r="C216" s="79">
        <f t="shared" si="3"/>
        <v>0.1</v>
      </c>
      <c r="D216" s="80">
        <v>0</v>
      </c>
      <c r="E216" s="80">
        <v>0</v>
      </c>
      <c r="F216" s="81">
        <v>0</v>
      </c>
      <c r="G216" s="81">
        <v>0</v>
      </c>
    </row>
    <row r="217" spans="1:7">
      <c r="A217" s="78" t="s">
        <v>185</v>
      </c>
      <c r="B217" s="124">
        <v>0.15</v>
      </c>
      <c r="C217" s="79">
        <f t="shared" si="3"/>
        <v>0.12</v>
      </c>
      <c r="D217" s="80">
        <v>0</v>
      </c>
      <c r="E217" s="80">
        <v>0</v>
      </c>
      <c r="F217" s="81">
        <v>0</v>
      </c>
      <c r="G217" s="81">
        <v>0</v>
      </c>
    </row>
    <row r="218" spans="1:7">
      <c r="A218" s="78" t="s">
        <v>186</v>
      </c>
      <c r="B218" s="124">
        <v>0.19</v>
      </c>
      <c r="C218" s="79">
        <f t="shared" si="3"/>
        <v>0.15</v>
      </c>
      <c r="D218" s="80">
        <v>0</v>
      </c>
      <c r="E218" s="80">
        <v>0</v>
      </c>
      <c r="F218" s="81">
        <v>0</v>
      </c>
      <c r="G218" s="81">
        <v>0</v>
      </c>
    </row>
    <row r="219" spans="1:7">
      <c r="A219" s="78" t="s">
        <v>187</v>
      </c>
      <c r="B219" s="124">
        <v>0.22</v>
      </c>
      <c r="C219" s="79">
        <f t="shared" si="3"/>
        <v>0.19</v>
      </c>
      <c r="D219" s="80">
        <v>0</v>
      </c>
      <c r="E219" s="80">
        <v>0</v>
      </c>
      <c r="F219" s="81">
        <v>0</v>
      </c>
      <c r="G219" s="81">
        <v>0</v>
      </c>
    </row>
    <row r="220" spans="1:7">
      <c r="A220" s="78" t="s">
        <v>188</v>
      </c>
      <c r="B220" s="124">
        <v>0.32</v>
      </c>
      <c r="C220" s="79">
        <f t="shared" si="3"/>
        <v>0.22</v>
      </c>
      <c r="D220" s="80">
        <v>0</v>
      </c>
      <c r="E220" s="80">
        <v>0</v>
      </c>
      <c r="F220" s="81">
        <v>0</v>
      </c>
      <c r="G220" s="81">
        <v>0</v>
      </c>
    </row>
    <row r="221" spans="1:7">
      <c r="A221" s="78" t="s">
        <v>189</v>
      </c>
      <c r="B221" s="124">
        <v>0.44</v>
      </c>
      <c r="C221" s="79">
        <f t="shared" si="3"/>
        <v>0.32</v>
      </c>
      <c r="D221" s="80">
        <v>0</v>
      </c>
      <c r="E221" s="80">
        <v>0</v>
      </c>
      <c r="F221" s="81">
        <v>0</v>
      </c>
      <c r="G221" s="81">
        <v>0</v>
      </c>
    </row>
    <row r="222" spans="1:7">
      <c r="A222" s="78" t="s">
        <v>190</v>
      </c>
      <c r="B222" s="124">
        <v>0.53</v>
      </c>
      <c r="C222" s="79">
        <f t="shared" si="3"/>
        <v>0.44</v>
      </c>
      <c r="D222" s="80">
        <v>0</v>
      </c>
      <c r="E222" s="80">
        <v>0</v>
      </c>
      <c r="F222" s="81">
        <v>0</v>
      </c>
      <c r="G222" s="81">
        <v>0</v>
      </c>
    </row>
    <row r="223" spans="1:7">
      <c r="A223" s="78" t="s">
        <v>191</v>
      </c>
      <c r="B223" s="124">
        <v>0.6</v>
      </c>
      <c r="C223" s="79">
        <f t="shared" si="3"/>
        <v>0.53</v>
      </c>
      <c r="D223" s="80">
        <v>0</v>
      </c>
      <c r="E223" s="80">
        <v>0</v>
      </c>
      <c r="F223" s="81">
        <v>0</v>
      </c>
      <c r="G223" s="81">
        <v>0</v>
      </c>
    </row>
    <row r="224" spans="1:7">
      <c r="A224" s="78" t="s">
        <v>192</v>
      </c>
      <c r="B224" s="124">
        <v>0.66</v>
      </c>
      <c r="C224" s="79">
        <f t="shared" si="3"/>
        <v>0.6</v>
      </c>
      <c r="D224" s="80">
        <v>0</v>
      </c>
      <c r="E224" s="80">
        <v>0</v>
      </c>
      <c r="F224" s="81">
        <v>0</v>
      </c>
      <c r="G224" s="81">
        <v>0</v>
      </c>
    </row>
    <row r="225" spans="1:7">
      <c r="A225" s="78" t="s">
        <v>193</v>
      </c>
      <c r="B225" s="124">
        <v>0.73</v>
      </c>
      <c r="C225" s="79">
        <f t="shared" si="3"/>
        <v>0.66</v>
      </c>
      <c r="D225" s="80">
        <v>0</v>
      </c>
      <c r="E225" s="80">
        <v>0</v>
      </c>
      <c r="F225" s="81">
        <v>0</v>
      </c>
      <c r="G225" s="81">
        <v>0</v>
      </c>
    </row>
    <row r="226" spans="1:7">
      <c r="A226" s="78" t="s">
        <v>194</v>
      </c>
      <c r="B226" s="124">
        <v>0.81</v>
      </c>
      <c r="C226" s="79">
        <f t="shared" si="3"/>
        <v>0.73</v>
      </c>
      <c r="D226" s="80">
        <v>0</v>
      </c>
      <c r="E226" s="80">
        <v>0</v>
      </c>
      <c r="F226" s="81">
        <v>0</v>
      </c>
      <c r="G226" s="81">
        <v>0</v>
      </c>
    </row>
    <row r="227" spans="1:7">
      <c r="A227" s="78" t="s">
        <v>195</v>
      </c>
      <c r="B227" s="124">
        <v>0.91</v>
      </c>
      <c r="C227" s="79">
        <f t="shared" si="3"/>
        <v>0.81</v>
      </c>
      <c r="D227" s="80">
        <v>0</v>
      </c>
      <c r="E227" s="80">
        <v>0</v>
      </c>
      <c r="F227" s="81">
        <v>0.00830769230769231</v>
      </c>
      <c r="G227" s="81">
        <v>0</v>
      </c>
    </row>
    <row r="228" spans="1:7">
      <c r="A228" s="78" t="s">
        <v>196</v>
      </c>
      <c r="B228" s="124">
        <v>1.06</v>
      </c>
      <c r="C228" s="79">
        <f t="shared" si="3"/>
        <v>0.91</v>
      </c>
      <c r="D228" s="80">
        <v>0.0609433962264152</v>
      </c>
      <c r="E228" s="80"/>
      <c r="F228" s="81">
        <v>0.0212830188679245</v>
      </c>
      <c r="G228" s="81">
        <v>0</v>
      </c>
    </row>
    <row r="229" spans="1:7">
      <c r="A229" s="78" t="s">
        <v>197</v>
      </c>
      <c r="B229" s="124">
        <v>1.19</v>
      </c>
      <c r="C229" s="79">
        <f t="shared" si="3"/>
        <v>1.06</v>
      </c>
      <c r="D229" s="80">
        <v>0.163529411764706</v>
      </c>
      <c r="E229" s="80">
        <v>0.0163529411764706</v>
      </c>
      <c r="F229" s="81">
        <v>0.0298823529411765</v>
      </c>
      <c r="G229" s="81">
        <v>0</v>
      </c>
    </row>
    <row r="230" spans="1:7">
      <c r="A230" s="78" t="s">
        <v>198</v>
      </c>
      <c r="B230" s="124">
        <v>1.34</v>
      </c>
      <c r="C230" s="79">
        <f t="shared" si="3"/>
        <v>1.19</v>
      </c>
      <c r="D230" s="80">
        <v>0.257164179104478</v>
      </c>
      <c r="E230" s="80">
        <v>0.0257164179104478</v>
      </c>
      <c r="F230" s="81">
        <v>0.0377313432835821</v>
      </c>
      <c r="G230" s="81">
        <v>0</v>
      </c>
    </row>
    <row r="231" spans="1:7">
      <c r="A231" s="78" t="s">
        <v>199</v>
      </c>
      <c r="B231" s="124">
        <v>1.46</v>
      </c>
      <c r="C231" s="79">
        <f t="shared" si="3"/>
        <v>1.34</v>
      </c>
      <c r="D231" s="80">
        <v>0.318219178082192</v>
      </c>
      <c r="E231" s="80">
        <v>0.0318219178082192</v>
      </c>
      <c r="F231" s="81">
        <v>0.0570958904109589</v>
      </c>
      <c r="G231" s="81">
        <v>0</v>
      </c>
    </row>
    <row r="232" spans="1:7">
      <c r="A232" s="78" t="s">
        <v>200</v>
      </c>
      <c r="B232" s="124">
        <v>1.56</v>
      </c>
      <c r="C232" s="79">
        <f t="shared" si="3"/>
        <v>1.46</v>
      </c>
      <c r="D232" s="80">
        <v>0.361923076923077</v>
      </c>
      <c r="E232" s="80">
        <v>0.0361923076923077</v>
      </c>
      <c r="F232" s="81">
        <v>0.0790769230769231</v>
      </c>
      <c r="G232" s="81">
        <v>0</v>
      </c>
    </row>
    <row r="233" spans="1:7">
      <c r="A233" s="78" t="s">
        <v>201</v>
      </c>
      <c r="B233" s="124">
        <v>1.68</v>
      </c>
      <c r="C233" s="79">
        <f t="shared" si="3"/>
        <v>1.56</v>
      </c>
      <c r="D233" s="80">
        <v>0.4075</v>
      </c>
      <c r="E233" s="80">
        <v>0.0445</v>
      </c>
      <c r="F233" s="81">
        <v>0.102</v>
      </c>
      <c r="G233" s="81">
        <v>0</v>
      </c>
    </row>
    <row r="234" spans="1:7">
      <c r="A234" s="78" t="s">
        <v>202</v>
      </c>
      <c r="B234" s="124">
        <v>1.79</v>
      </c>
      <c r="C234" s="79">
        <f t="shared" si="3"/>
        <v>1.68</v>
      </c>
      <c r="D234" s="80">
        <v>0.44391061452514</v>
      </c>
      <c r="E234" s="80">
        <v>0.0663463687150838</v>
      </c>
      <c r="F234" s="81">
        <v>0.120312849162011</v>
      </c>
      <c r="G234" s="81">
        <v>0</v>
      </c>
    </row>
    <row r="235" spans="1:7">
      <c r="A235" s="78" t="s">
        <v>203</v>
      </c>
      <c r="B235" s="124">
        <v>1.99</v>
      </c>
      <c r="C235" s="79">
        <f t="shared" si="3"/>
        <v>1.79</v>
      </c>
      <c r="D235" s="80">
        <v>0.499798994974874</v>
      </c>
      <c r="E235" s="80">
        <v>0.0998793969849246</v>
      </c>
      <c r="F235" s="81">
        <v>0.148422110552764</v>
      </c>
      <c r="G235" s="81">
        <v>0</v>
      </c>
    </row>
    <row r="236" spans="1:7">
      <c r="A236" s="78" t="s">
        <v>204</v>
      </c>
      <c r="B236" s="124">
        <v>2.2</v>
      </c>
      <c r="C236" s="79">
        <f t="shared" si="3"/>
        <v>1.99</v>
      </c>
      <c r="D236" s="80">
        <v>0.547545454545455</v>
      </c>
      <c r="E236" s="80">
        <v>0.128527272727273</v>
      </c>
      <c r="F236" s="81">
        <v>0.172436363636364</v>
      </c>
      <c r="G236" s="81">
        <v>0</v>
      </c>
    </row>
    <row r="237" spans="1:7">
      <c r="A237" s="78" t="s">
        <v>205</v>
      </c>
      <c r="B237" s="124">
        <v>2.4</v>
      </c>
      <c r="C237" s="79">
        <f t="shared" si="3"/>
        <v>2.2</v>
      </c>
      <c r="D237" s="80">
        <v>0.58525</v>
      </c>
      <c r="E237" s="80">
        <v>0.15115</v>
      </c>
      <c r="F237" s="81">
        <v>0.1914</v>
      </c>
      <c r="G237" s="81">
        <v>0</v>
      </c>
    </row>
    <row r="238" spans="1:7">
      <c r="A238" s="78" t="s">
        <v>206</v>
      </c>
      <c r="B238" s="124">
        <v>2.59</v>
      </c>
      <c r="C238" s="79">
        <f t="shared" si="3"/>
        <v>2.4</v>
      </c>
      <c r="D238" s="80">
        <v>0.615675675675676</v>
      </c>
      <c r="E238" s="80">
        <v>0.169405405405405</v>
      </c>
      <c r="F238" s="81">
        <v>0.206702702702703</v>
      </c>
      <c r="G238" s="81">
        <v>0</v>
      </c>
    </row>
    <row r="239" spans="1:7">
      <c r="A239" s="78" t="s">
        <v>207</v>
      </c>
      <c r="B239" s="124">
        <v>2.81</v>
      </c>
      <c r="C239" s="79">
        <f t="shared" si="3"/>
        <v>2.59</v>
      </c>
      <c r="D239" s="80">
        <v>0.64576512455516</v>
      </c>
      <c r="E239" s="80">
        <v>0.187459074733096</v>
      </c>
      <c r="F239" s="81">
        <v>0.221836298932384</v>
      </c>
      <c r="G239" s="81">
        <v>0</v>
      </c>
    </row>
    <row r="240" spans="1:7">
      <c r="A240" s="78" t="s">
        <v>208</v>
      </c>
      <c r="B240" s="124">
        <v>3.05</v>
      </c>
      <c r="C240" s="79">
        <f t="shared" si="3"/>
        <v>2.81</v>
      </c>
      <c r="D240" s="80">
        <v>0.673639344262295</v>
      </c>
      <c r="E240" s="80">
        <v>0.204183606557377</v>
      </c>
      <c r="F240" s="81">
        <v>0.235855737704918</v>
      </c>
      <c r="G240" s="81">
        <v>0</v>
      </c>
    </row>
    <row r="241" spans="1:7">
      <c r="A241" s="78" t="s">
        <v>209</v>
      </c>
      <c r="B241" s="124">
        <v>3.39</v>
      </c>
      <c r="C241" s="79">
        <f t="shared" si="3"/>
        <v>3.05</v>
      </c>
      <c r="D241" s="80">
        <v>0.706371681415929</v>
      </c>
      <c r="E241" s="80">
        <v>0.223823008849558</v>
      </c>
      <c r="F241" s="81">
        <v>0.252318584070796</v>
      </c>
      <c r="G241" s="81">
        <v>0</v>
      </c>
    </row>
    <row r="242" spans="1:7">
      <c r="A242" s="78" t="s">
        <v>210</v>
      </c>
      <c r="B242" s="124">
        <v>3.61</v>
      </c>
      <c r="C242" s="79">
        <f t="shared" si="3"/>
        <v>3.39</v>
      </c>
      <c r="D242" s="80">
        <v>0.724265927977839</v>
      </c>
      <c r="E242" s="80">
        <v>0.234559556786704</v>
      </c>
      <c r="F242" s="81">
        <v>0.261318559556787</v>
      </c>
      <c r="G242" s="81">
        <v>0</v>
      </c>
    </row>
    <row r="243" spans="1:7">
      <c r="A243" s="78" t="s">
        <v>211</v>
      </c>
      <c r="B243" s="124">
        <v>3.74</v>
      </c>
      <c r="C243" s="79">
        <f t="shared" si="3"/>
        <v>3.61</v>
      </c>
      <c r="D243" s="80">
        <v>0.733850267379679</v>
      </c>
      <c r="E243" s="80">
        <v>0.240310160427808</v>
      </c>
      <c r="F243" s="81">
        <v>0.266139037433155</v>
      </c>
      <c r="G243" s="81">
        <v>0</v>
      </c>
    </row>
    <row r="244" spans="1:7">
      <c r="A244" s="78" t="s">
        <v>212</v>
      </c>
      <c r="B244" s="124">
        <v>4.11</v>
      </c>
      <c r="C244" s="79">
        <f t="shared" si="3"/>
        <v>3.74</v>
      </c>
      <c r="D244" s="80">
        <v>0.757810218978102</v>
      </c>
      <c r="E244" s="80">
        <v>0.254686131386861</v>
      </c>
      <c r="F244" s="81">
        <v>0.278189781021898</v>
      </c>
      <c r="G244" s="81">
        <v>0</v>
      </c>
    </row>
    <row r="245" spans="1:7">
      <c r="A245" s="78" t="s">
        <v>213</v>
      </c>
      <c r="B245" s="125">
        <v>4.37</v>
      </c>
      <c r="C245" s="79">
        <f t="shared" si="3"/>
        <v>4.11</v>
      </c>
      <c r="D245" s="80">
        <v>0.772219679633867</v>
      </c>
      <c r="E245" s="80">
        <v>0.26333180778032</v>
      </c>
      <c r="F245" s="81">
        <v>0.285437070938215</v>
      </c>
      <c r="G245" s="81">
        <v>0</v>
      </c>
    </row>
    <row r="246" spans="1:7">
      <c r="A246" s="78" t="s">
        <v>214</v>
      </c>
      <c r="B246" s="124">
        <v>4.71</v>
      </c>
      <c r="C246" s="79">
        <f t="shared" si="3"/>
        <v>4.37</v>
      </c>
      <c r="D246" s="80">
        <v>0.788662420382166</v>
      </c>
      <c r="E246" s="80">
        <v>0.273197452229299</v>
      </c>
      <c r="F246" s="81">
        <v>0.293707006369427</v>
      </c>
      <c r="G246" s="81">
        <v>0</v>
      </c>
    </row>
    <row r="247" spans="1:7">
      <c r="A247" s="78" t="s">
        <v>215</v>
      </c>
      <c r="B247" s="124">
        <v>5.2</v>
      </c>
      <c r="C247" s="79">
        <f t="shared" si="3"/>
        <v>4.71</v>
      </c>
      <c r="D247" s="80">
        <v>0.808576923076923</v>
      </c>
      <c r="E247" s="80">
        <v>0.285146153846154</v>
      </c>
      <c r="F247" s="81">
        <v>0.303723076923077</v>
      </c>
      <c r="G247" s="81">
        <v>0</v>
      </c>
    </row>
    <row r="248" spans="1:7">
      <c r="A248" s="78" t="s">
        <v>216</v>
      </c>
      <c r="B248" s="124">
        <v>6.03</v>
      </c>
      <c r="C248" s="79">
        <f t="shared" si="3"/>
        <v>5.2</v>
      </c>
      <c r="D248" s="80">
        <v>0.834925373134328</v>
      </c>
      <c r="E248" s="80">
        <v>0.300955223880597</v>
      </c>
      <c r="F248" s="81">
        <v>0.316975124378109</v>
      </c>
      <c r="G248" s="81">
        <v>0</v>
      </c>
    </row>
    <row r="249" spans="1:7">
      <c r="A249" s="78" t="s">
        <v>217</v>
      </c>
      <c r="B249" s="124">
        <v>6.96</v>
      </c>
      <c r="C249" s="79">
        <f t="shared" si="3"/>
        <v>6.03</v>
      </c>
      <c r="D249" s="80">
        <v>0.85698275862069</v>
      </c>
      <c r="E249" s="80">
        <v>0.314189655172414</v>
      </c>
      <c r="F249" s="81">
        <v>0.328068965517241</v>
      </c>
      <c r="G249" s="81">
        <v>0</v>
      </c>
    </row>
    <row r="250" spans="1:7">
      <c r="A250" s="78" t="s">
        <v>218</v>
      </c>
      <c r="B250" s="124">
        <v>7.65</v>
      </c>
      <c r="C250" s="79">
        <f t="shared" si="3"/>
        <v>6.96</v>
      </c>
      <c r="D250" s="80">
        <v>0.869882352941176</v>
      </c>
      <c r="E250" s="80">
        <v>0.321929411764706</v>
      </c>
      <c r="F250" s="81">
        <v>0.334556862745098</v>
      </c>
      <c r="G250" s="81">
        <v>0.0011764705882353</v>
      </c>
    </row>
    <row r="251" spans="1:7">
      <c r="A251" s="78" t="s">
        <v>219</v>
      </c>
      <c r="B251" s="124">
        <v>9.27</v>
      </c>
      <c r="C251" s="79">
        <f t="shared" si="3"/>
        <v>7.65</v>
      </c>
      <c r="D251" s="80">
        <v>0.892621359223301</v>
      </c>
      <c r="E251" s="80">
        <v>0.335572815533981</v>
      </c>
      <c r="F251" s="81">
        <v>0.345993527508091</v>
      </c>
      <c r="G251" s="81">
        <v>0.0184466019417476</v>
      </c>
    </row>
    <row r="252" spans="1:7">
      <c r="A252" s="78" t="s">
        <v>220</v>
      </c>
      <c r="B252" s="124">
        <v>10.72</v>
      </c>
      <c r="C252" s="79">
        <f t="shared" si="3"/>
        <v>9.27</v>
      </c>
      <c r="D252" s="80">
        <v>0.90714552238806</v>
      </c>
      <c r="E252" s="80">
        <v>0.344287313432836</v>
      </c>
      <c r="F252" s="81">
        <v>0.353298507462687</v>
      </c>
      <c r="G252" s="81">
        <v>0.0294776119402985</v>
      </c>
    </row>
    <row r="253" spans="1:7">
      <c r="A253" s="78" t="s">
        <v>221</v>
      </c>
      <c r="B253" s="126">
        <v>11.63</v>
      </c>
      <c r="C253" s="79">
        <f t="shared" si="3"/>
        <v>10.72</v>
      </c>
      <c r="D253" s="80">
        <v>0.914411006018917</v>
      </c>
      <c r="E253" s="80">
        <v>0.34864660361135</v>
      </c>
      <c r="F253" s="81">
        <v>0.356952708512468</v>
      </c>
      <c r="G253" s="81">
        <v>0.0349957007738607</v>
      </c>
    </row>
    <row r="254" spans="1:7">
      <c r="A254" s="78" t="s">
        <v>221</v>
      </c>
      <c r="B254" s="78" t="s">
        <v>437</v>
      </c>
      <c r="C254" s="79">
        <f t="shared" si="3"/>
        <v>11.63</v>
      </c>
      <c r="D254" s="117"/>
      <c r="E254" s="83"/>
      <c r="F254" s="84"/>
      <c r="G254" s="84"/>
    </row>
    <row r="255" spans="1:7">
      <c r="A255" s="78"/>
      <c r="B255" s="78"/>
      <c r="C255" s="78"/>
      <c r="D255" s="117"/>
      <c r="E255" s="85">
        <v>0.0981652868807167</v>
      </c>
      <c r="F255" s="86">
        <v>0.112180441920329</v>
      </c>
      <c r="G255" s="86">
        <v>0.00168192770488284</v>
      </c>
    </row>
    <row r="256" ht="26.25" customHeight="1" spans="1:7">
      <c r="A256" s="87" t="s">
        <v>233</v>
      </c>
      <c r="B256" s="118">
        <v>12.6</v>
      </c>
      <c r="C256" s="78"/>
      <c r="D256" s="117"/>
      <c r="E256" s="127">
        <v>1.659</v>
      </c>
      <c r="F256" s="128">
        <v>1.39066666666667</v>
      </c>
      <c r="G256" s="129">
        <v>12.6</v>
      </c>
    </row>
    <row r="257" ht="26.65" customHeight="1" spans="1:7">
      <c r="A257" s="87" t="s">
        <v>224</v>
      </c>
      <c r="B257" s="93">
        <v>2.09</v>
      </c>
      <c r="C257" s="78"/>
      <c r="D257" s="83"/>
      <c r="E257" s="83"/>
      <c r="F257" s="84"/>
      <c r="G257" s="84"/>
    </row>
    <row r="258" ht="37.15" customHeight="1" spans="1:7">
      <c r="A258" s="106" t="s">
        <v>225</v>
      </c>
      <c r="B258" s="93">
        <v>1.26</v>
      </c>
      <c r="C258" s="78"/>
      <c r="D258" s="83"/>
      <c r="E258" s="83">
        <v>0.9954</v>
      </c>
      <c r="F258" s="84">
        <v>0.8344</v>
      </c>
      <c r="G258" s="84">
        <v>7.56</v>
      </c>
    </row>
    <row r="261" spans="1:3">
      <c r="A261" s="531" t="s">
        <v>226</v>
      </c>
      <c r="B261" s="95">
        <f>AVERAGE(B209:B248)</f>
        <v>1.659</v>
      </c>
      <c r="C261" s="95"/>
    </row>
    <row r="262" spans="1:3">
      <c r="A262" s="531" t="s">
        <v>227</v>
      </c>
      <c r="B262" s="96">
        <f>AVERAGE(B214:B243)</f>
        <v>1.39066666666667</v>
      </c>
      <c r="C262" s="96"/>
    </row>
    <row r="263" spans="1:3">
      <c r="A263" s="531" t="s">
        <v>228</v>
      </c>
      <c r="B263" s="96">
        <f>AVERAGE(B220:B238)</f>
        <v>1.27684210526316</v>
      </c>
      <c r="C263" s="96"/>
    </row>
    <row r="267" ht="15.75" spans="3:3">
      <c r="C267" s="130"/>
    </row>
    <row r="270" spans="3:3">
      <c r="C270">
        <v>0</v>
      </c>
    </row>
    <row r="271" spans="3:3">
      <c r="C271" s="79">
        <f>B270</f>
        <v>0</v>
      </c>
    </row>
    <row r="272" spans="3:3">
      <c r="C272" s="79">
        <f t="shared" ref="C272:C320" si="4">B271</f>
        <v>0</v>
      </c>
    </row>
    <row r="273" spans="3:3">
      <c r="C273" s="79">
        <f t="shared" si="4"/>
        <v>0</v>
      </c>
    </row>
    <row r="274" spans="3:3">
      <c r="C274" s="79">
        <f t="shared" si="4"/>
        <v>0</v>
      </c>
    </row>
    <row r="275" spans="3:3">
      <c r="C275" s="79">
        <f t="shared" si="4"/>
        <v>0</v>
      </c>
    </row>
    <row r="276" spans="3:3">
      <c r="C276" s="79">
        <f t="shared" si="4"/>
        <v>0</v>
      </c>
    </row>
    <row r="277" spans="3:3">
      <c r="C277" s="79">
        <f t="shared" si="4"/>
        <v>0</v>
      </c>
    </row>
    <row r="278" spans="3:3">
      <c r="C278" s="79">
        <f t="shared" si="4"/>
        <v>0</v>
      </c>
    </row>
    <row r="279" spans="3:3">
      <c r="C279" s="79">
        <f t="shared" si="4"/>
        <v>0</v>
      </c>
    </row>
    <row r="280" spans="3:3">
      <c r="C280" s="79">
        <f t="shared" si="4"/>
        <v>0</v>
      </c>
    </row>
    <row r="281" spans="3:3">
      <c r="C281" s="79">
        <f t="shared" si="4"/>
        <v>0</v>
      </c>
    </row>
    <row r="282" spans="3:3">
      <c r="C282" s="79">
        <f t="shared" si="4"/>
        <v>0</v>
      </c>
    </row>
    <row r="283" spans="3:3">
      <c r="C283" s="79">
        <f t="shared" si="4"/>
        <v>0</v>
      </c>
    </row>
    <row r="284" spans="3:3">
      <c r="C284" s="79">
        <f t="shared" si="4"/>
        <v>0</v>
      </c>
    </row>
    <row r="285" spans="3:3">
      <c r="C285" s="79">
        <f t="shared" si="4"/>
        <v>0</v>
      </c>
    </row>
    <row r="286" spans="3:3">
      <c r="C286" s="79">
        <f t="shared" si="4"/>
        <v>0</v>
      </c>
    </row>
    <row r="287" spans="3:3">
      <c r="C287" s="79">
        <f t="shared" si="4"/>
        <v>0</v>
      </c>
    </row>
    <row r="288" spans="3:3">
      <c r="C288" s="79">
        <f t="shared" si="4"/>
        <v>0</v>
      </c>
    </row>
    <row r="289" spans="3:3">
      <c r="C289" s="79">
        <f t="shared" si="4"/>
        <v>0</v>
      </c>
    </row>
    <row r="290" spans="3:3">
      <c r="C290" s="79">
        <f t="shared" si="4"/>
        <v>0</v>
      </c>
    </row>
    <row r="291" spans="3:3">
      <c r="C291" s="79">
        <f t="shared" si="4"/>
        <v>0</v>
      </c>
    </row>
    <row r="292" spans="3:3">
      <c r="C292" s="79">
        <f t="shared" si="4"/>
        <v>0</v>
      </c>
    </row>
    <row r="293" spans="3:3">
      <c r="C293" s="79">
        <f t="shared" si="4"/>
        <v>0</v>
      </c>
    </row>
    <row r="294" spans="3:3">
      <c r="C294" s="79">
        <f t="shared" si="4"/>
        <v>0</v>
      </c>
    </row>
    <row r="295" spans="3:3">
      <c r="C295" s="79">
        <f t="shared" si="4"/>
        <v>0</v>
      </c>
    </row>
    <row r="296" spans="3:3">
      <c r="C296" s="79">
        <f t="shared" si="4"/>
        <v>0</v>
      </c>
    </row>
    <row r="297" spans="3:3">
      <c r="C297" s="79">
        <f t="shared" si="4"/>
        <v>0</v>
      </c>
    </row>
    <row r="298" spans="3:3">
      <c r="C298" s="79">
        <f t="shared" si="4"/>
        <v>0</v>
      </c>
    </row>
    <row r="299" spans="3:3">
      <c r="C299" s="79">
        <f t="shared" si="4"/>
        <v>0</v>
      </c>
    </row>
    <row r="300" spans="3:3">
      <c r="C300" s="79">
        <f t="shared" si="4"/>
        <v>0</v>
      </c>
    </row>
    <row r="301" spans="3:3">
      <c r="C301" s="79">
        <f t="shared" si="4"/>
        <v>0</v>
      </c>
    </row>
    <row r="302" spans="3:3">
      <c r="C302" s="79">
        <f t="shared" si="4"/>
        <v>0</v>
      </c>
    </row>
    <row r="303" spans="3:3">
      <c r="C303" s="79">
        <f t="shared" si="4"/>
        <v>0</v>
      </c>
    </row>
    <row r="304" spans="3:3">
      <c r="C304" s="79">
        <f t="shared" si="4"/>
        <v>0</v>
      </c>
    </row>
    <row r="305" spans="3:3">
      <c r="C305" s="79">
        <f t="shared" si="4"/>
        <v>0</v>
      </c>
    </row>
    <row r="306" spans="3:3">
      <c r="C306" s="79">
        <f t="shared" si="4"/>
        <v>0</v>
      </c>
    </row>
    <row r="307" spans="3:3">
      <c r="C307" s="79">
        <f t="shared" si="4"/>
        <v>0</v>
      </c>
    </row>
    <row r="308" spans="3:3">
      <c r="C308" s="79">
        <f t="shared" si="4"/>
        <v>0</v>
      </c>
    </row>
    <row r="309" spans="3:3">
      <c r="C309" s="79">
        <f t="shared" si="4"/>
        <v>0</v>
      </c>
    </row>
    <row r="310" spans="3:3">
      <c r="C310" s="79">
        <f t="shared" si="4"/>
        <v>0</v>
      </c>
    </row>
    <row r="311" spans="3:3">
      <c r="C311" s="79">
        <f t="shared" si="4"/>
        <v>0</v>
      </c>
    </row>
    <row r="312" spans="3:3">
      <c r="C312" s="79">
        <f t="shared" si="4"/>
        <v>0</v>
      </c>
    </row>
    <row r="313" spans="3:3">
      <c r="C313" s="79">
        <f t="shared" si="4"/>
        <v>0</v>
      </c>
    </row>
    <row r="314" spans="3:3">
      <c r="C314" s="79">
        <f t="shared" si="4"/>
        <v>0</v>
      </c>
    </row>
    <row r="315" spans="3:3">
      <c r="C315" s="79">
        <f t="shared" si="4"/>
        <v>0</v>
      </c>
    </row>
    <row r="316" spans="3:3">
      <c r="C316" s="79">
        <f t="shared" si="4"/>
        <v>0</v>
      </c>
    </row>
    <row r="317" spans="3:3">
      <c r="C317" s="79">
        <f t="shared" si="4"/>
        <v>0</v>
      </c>
    </row>
    <row r="318" spans="3:3">
      <c r="C318" s="79">
        <f t="shared" si="4"/>
        <v>0</v>
      </c>
    </row>
    <row r="319" spans="3:3">
      <c r="C319" s="79">
        <f t="shared" si="4"/>
        <v>0</v>
      </c>
    </row>
    <row r="320" spans="3:3">
      <c r="C320" s="79">
        <f t="shared" si="4"/>
        <v>0</v>
      </c>
    </row>
    <row r="336" ht="15.75" spans="3:3">
      <c r="C336" s="131"/>
    </row>
    <row r="337" spans="3:3">
      <c r="C337">
        <v>0</v>
      </c>
    </row>
    <row r="338" spans="3:3">
      <c r="C338" s="79">
        <f>B337</f>
        <v>0</v>
      </c>
    </row>
    <row r="339" spans="3:3">
      <c r="C339" s="79">
        <f t="shared" ref="C339:C387" si="5">B338</f>
        <v>0</v>
      </c>
    </row>
    <row r="340" spans="3:3">
      <c r="C340" s="79">
        <f t="shared" si="5"/>
        <v>0</v>
      </c>
    </row>
    <row r="341" spans="3:3">
      <c r="C341" s="79">
        <f t="shared" si="5"/>
        <v>0</v>
      </c>
    </row>
    <row r="342" spans="3:3">
      <c r="C342" s="79">
        <f t="shared" si="5"/>
        <v>0</v>
      </c>
    </row>
    <row r="343" spans="3:3">
      <c r="C343" s="79">
        <f t="shared" si="5"/>
        <v>0</v>
      </c>
    </row>
    <row r="344" spans="3:3">
      <c r="C344" s="79">
        <f t="shared" si="5"/>
        <v>0</v>
      </c>
    </row>
    <row r="345" spans="3:3">
      <c r="C345" s="79">
        <f t="shared" si="5"/>
        <v>0</v>
      </c>
    </row>
    <row r="346" spans="3:3">
      <c r="C346" s="79">
        <f t="shared" si="5"/>
        <v>0</v>
      </c>
    </row>
    <row r="347" spans="3:3">
      <c r="C347" s="79">
        <f t="shared" si="5"/>
        <v>0</v>
      </c>
    </row>
    <row r="348" spans="3:3">
      <c r="C348" s="79">
        <f t="shared" si="5"/>
        <v>0</v>
      </c>
    </row>
    <row r="349" spans="3:3">
      <c r="C349" s="79">
        <f t="shared" si="5"/>
        <v>0</v>
      </c>
    </row>
    <row r="350" spans="3:3">
      <c r="C350" s="79">
        <f t="shared" si="5"/>
        <v>0</v>
      </c>
    </row>
    <row r="351" spans="3:3">
      <c r="C351" s="79">
        <f t="shared" si="5"/>
        <v>0</v>
      </c>
    </row>
    <row r="352" spans="3:3">
      <c r="C352" s="79">
        <f t="shared" si="5"/>
        <v>0</v>
      </c>
    </row>
    <row r="353" spans="3:3">
      <c r="C353" s="79">
        <f t="shared" si="5"/>
        <v>0</v>
      </c>
    </row>
    <row r="354" spans="3:3">
      <c r="C354" s="79">
        <f t="shared" si="5"/>
        <v>0</v>
      </c>
    </row>
    <row r="355" spans="3:3">
      <c r="C355" s="79">
        <f t="shared" si="5"/>
        <v>0</v>
      </c>
    </row>
    <row r="356" spans="3:3">
      <c r="C356" s="79">
        <f t="shared" si="5"/>
        <v>0</v>
      </c>
    </row>
    <row r="357" spans="3:3">
      <c r="C357" s="79">
        <f t="shared" si="5"/>
        <v>0</v>
      </c>
    </row>
    <row r="358" spans="3:3">
      <c r="C358" s="79">
        <f t="shared" si="5"/>
        <v>0</v>
      </c>
    </row>
    <row r="359" spans="3:3">
      <c r="C359" s="79">
        <f t="shared" si="5"/>
        <v>0</v>
      </c>
    </row>
    <row r="360" spans="3:3">
      <c r="C360" s="79">
        <f t="shared" si="5"/>
        <v>0</v>
      </c>
    </row>
    <row r="361" spans="3:3">
      <c r="C361" s="79">
        <f t="shared" si="5"/>
        <v>0</v>
      </c>
    </row>
    <row r="362" spans="3:3">
      <c r="C362" s="79">
        <f t="shared" si="5"/>
        <v>0</v>
      </c>
    </row>
    <row r="363" spans="3:3">
      <c r="C363" s="79">
        <f t="shared" si="5"/>
        <v>0</v>
      </c>
    </row>
    <row r="364" spans="3:3">
      <c r="C364" s="79">
        <f t="shared" si="5"/>
        <v>0</v>
      </c>
    </row>
    <row r="365" spans="3:3">
      <c r="C365" s="79">
        <f t="shared" si="5"/>
        <v>0</v>
      </c>
    </row>
    <row r="366" spans="3:3">
      <c r="C366" s="79">
        <f t="shared" si="5"/>
        <v>0</v>
      </c>
    </row>
    <row r="367" spans="3:3">
      <c r="C367" s="79">
        <f t="shared" si="5"/>
        <v>0</v>
      </c>
    </row>
    <row r="368" spans="3:3">
      <c r="C368" s="79">
        <f t="shared" si="5"/>
        <v>0</v>
      </c>
    </row>
    <row r="369" spans="3:3">
      <c r="C369" s="79">
        <f t="shared" si="5"/>
        <v>0</v>
      </c>
    </row>
    <row r="370" spans="3:3">
      <c r="C370" s="79">
        <f t="shared" si="5"/>
        <v>0</v>
      </c>
    </row>
    <row r="371" spans="3:3">
      <c r="C371" s="79">
        <f t="shared" si="5"/>
        <v>0</v>
      </c>
    </row>
    <row r="372" spans="3:3">
      <c r="C372" s="79">
        <f t="shared" si="5"/>
        <v>0</v>
      </c>
    </row>
    <row r="373" spans="3:3">
      <c r="C373" s="79">
        <f t="shared" si="5"/>
        <v>0</v>
      </c>
    </row>
    <row r="374" spans="3:3">
      <c r="C374" s="79">
        <f t="shared" si="5"/>
        <v>0</v>
      </c>
    </row>
    <row r="375" spans="3:3">
      <c r="C375" s="79">
        <f t="shared" si="5"/>
        <v>0</v>
      </c>
    </row>
    <row r="376" spans="3:3">
      <c r="C376" s="79">
        <f t="shared" si="5"/>
        <v>0</v>
      </c>
    </row>
    <row r="377" spans="3:3">
      <c r="C377" s="79">
        <f t="shared" si="5"/>
        <v>0</v>
      </c>
    </row>
    <row r="378" spans="3:3">
      <c r="C378" s="79">
        <f t="shared" si="5"/>
        <v>0</v>
      </c>
    </row>
    <row r="379" spans="3:3">
      <c r="C379" s="79">
        <f t="shared" si="5"/>
        <v>0</v>
      </c>
    </row>
    <row r="380" spans="3:3">
      <c r="C380" s="79">
        <f t="shared" si="5"/>
        <v>0</v>
      </c>
    </row>
    <row r="381" spans="3:3">
      <c r="C381" s="79">
        <f t="shared" si="5"/>
        <v>0</v>
      </c>
    </row>
    <row r="382" spans="3:3">
      <c r="C382" s="79">
        <f t="shared" si="5"/>
        <v>0</v>
      </c>
    </row>
    <row r="383" spans="3:3">
      <c r="C383" s="79">
        <f t="shared" si="5"/>
        <v>0</v>
      </c>
    </row>
    <row r="384" spans="3:3">
      <c r="C384" s="79">
        <f t="shared" si="5"/>
        <v>0</v>
      </c>
    </row>
    <row r="385" spans="3:3">
      <c r="C385" s="79">
        <f t="shared" si="5"/>
        <v>0</v>
      </c>
    </row>
    <row r="386" spans="3:3">
      <c r="C386" s="79">
        <f t="shared" si="5"/>
        <v>0</v>
      </c>
    </row>
    <row r="387" spans="3:3">
      <c r="C387" s="79">
        <f t="shared" si="5"/>
        <v>0</v>
      </c>
    </row>
    <row r="402" spans="3:3">
      <c r="C402">
        <v>0</v>
      </c>
    </row>
    <row r="403" spans="3:3">
      <c r="C403" s="79">
        <f>B402</f>
        <v>0</v>
      </c>
    </row>
    <row r="404" spans="3:3">
      <c r="C404" s="79">
        <f t="shared" ref="C404:C452" si="6">B403</f>
        <v>0</v>
      </c>
    </row>
    <row r="405" spans="3:3">
      <c r="C405" s="79">
        <f t="shared" si="6"/>
        <v>0</v>
      </c>
    </row>
    <row r="406" spans="3:3">
      <c r="C406" s="79">
        <f t="shared" si="6"/>
        <v>0</v>
      </c>
    </row>
    <row r="407" spans="3:3">
      <c r="C407" s="79">
        <f t="shared" si="6"/>
        <v>0</v>
      </c>
    </row>
    <row r="408" spans="3:3">
      <c r="C408" s="79">
        <f t="shared" si="6"/>
        <v>0</v>
      </c>
    </row>
    <row r="409" spans="3:3">
      <c r="C409" s="79">
        <f t="shared" si="6"/>
        <v>0</v>
      </c>
    </row>
    <row r="410" spans="3:3">
      <c r="C410" s="79">
        <f t="shared" si="6"/>
        <v>0</v>
      </c>
    </row>
    <row r="411" spans="3:3">
      <c r="C411" s="79">
        <f t="shared" si="6"/>
        <v>0</v>
      </c>
    </row>
    <row r="412" spans="3:3">
      <c r="C412" s="79">
        <f t="shared" si="6"/>
        <v>0</v>
      </c>
    </row>
    <row r="413" spans="3:3">
      <c r="C413" s="79">
        <f t="shared" si="6"/>
        <v>0</v>
      </c>
    </row>
    <row r="414" spans="3:3">
      <c r="C414" s="79">
        <f t="shared" si="6"/>
        <v>0</v>
      </c>
    </row>
    <row r="415" spans="3:3">
      <c r="C415" s="79">
        <f t="shared" si="6"/>
        <v>0</v>
      </c>
    </row>
    <row r="416" spans="3:3">
      <c r="C416" s="79">
        <f t="shared" si="6"/>
        <v>0</v>
      </c>
    </row>
    <row r="417" spans="3:3">
      <c r="C417" s="79">
        <f t="shared" si="6"/>
        <v>0</v>
      </c>
    </row>
    <row r="418" spans="3:3">
      <c r="C418" s="79">
        <f t="shared" si="6"/>
        <v>0</v>
      </c>
    </row>
    <row r="419" spans="3:3">
      <c r="C419" s="79">
        <f t="shared" si="6"/>
        <v>0</v>
      </c>
    </row>
    <row r="420" spans="3:3">
      <c r="C420" s="79">
        <f t="shared" si="6"/>
        <v>0</v>
      </c>
    </row>
    <row r="421" spans="3:3">
      <c r="C421" s="79">
        <f t="shared" si="6"/>
        <v>0</v>
      </c>
    </row>
    <row r="422" spans="3:3">
      <c r="C422" s="79">
        <f t="shared" si="6"/>
        <v>0</v>
      </c>
    </row>
    <row r="423" spans="3:3">
      <c r="C423" s="79">
        <f t="shared" si="6"/>
        <v>0</v>
      </c>
    </row>
    <row r="424" spans="3:3">
      <c r="C424" s="79">
        <f t="shared" si="6"/>
        <v>0</v>
      </c>
    </row>
    <row r="425" spans="3:3">
      <c r="C425" s="79">
        <f t="shared" si="6"/>
        <v>0</v>
      </c>
    </row>
    <row r="426" spans="3:3">
      <c r="C426" s="79">
        <f t="shared" si="6"/>
        <v>0</v>
      </c>
    </row>
    <row r="427" spans="3:3">
      <c r="C427" s="79">
        <f t="shared" si="6"/>
        <v>0</v>
      </c>
    </row>
    <row r="428" spans="3:3">
      <c r="C428" s="79">
        <f t="shared" si="6"/>
        <v>0</v>
      </c>
    </row>
    <row r="429" spans="3:3">
      <c r="C429" s="79">
        <f t="shared" si="6"/>
        <v>0</v>
      </c>
    </row>
    <row r="430" spans="3:3">
      <c r="C430" s="79">
        <f t="shared" si="6"/>
        <v>0</v>
      </c>
    </row>
    <row r="431" spans="3:3">
      <c r="C431" s="79">
        <f t="shared" si="6"/>
        <v>0</v>
      </c>
    </row>
    <row r="432" spans="3:3">
      <c r="C432" s="79">
        <f t="shared" si="6"/>
        <v>0</v>
      </c>
    </row>
    <row r="433" spans="3:3">
      <c r="C433" s="79">
        <f t="shared" si="6"/>
        <v>0</v>
      </c>
    </row>
    <row r="434" spans="3:3">
      <c r="C434" s="79">
        <f t="shared" si="6"/>
        <v>0</v>
      </c>
    </row>
    <row r="435" spans="3:3">
      <c r="C435" s="79">
        <f t="shared" si="6"/>
        <v>0</v>
      </c>
    </row>
    <row r="436" spans="3:3">
      <c r="C436" s="79">
        <f t="shared" si="6"/>
        <v>0</v>
      </c>
    </row>
    <row r="437" spans="3:3">
      <c r="C437" s="79">
        <f t="shared" si="6"/>
        <v>0</v>
      </c>
    </row>
    <row r="438" spans="3:3">
      <c r="C438" s="79">
        <f t="shared" si="6"/>
        <v>0</v>
      </c>
    </row>
    <row r="439" spans="3:3">
      <c r="C439" s="79">
        <f t="shared" si="6"/>
        <v>0</v>
      </c>
    </row>
    <row r="440" spans="3:3">
      <c r="C440" s="79">
        <f t="shared" si="6"/>
        <v>0</v>
      </c>
    </row>
    <row r="441" spans="3:3">
      <c r="C441" s="79">
        <f t="shared" si="6"/>
        <v>0</v>
      </c>
    </row>
    <row r="442" spans="3:3">
      <c r="C442" s="79">
        <f t="shared" si="6"/>
        <v>0</v>
      </c>
    </row>
    <row r="443" spans="3:3">
      <c r="C443" s="79">
        <f t="shared" si="6"/>
        <v>0</v>
      </c>
    </row>
    <row r="444" spans="3:3">
      <c r="C444" s="79">
        <f t="shared" si="6"/>
        <v>0</v>
      </c>
    </row>
    <row r="445" spans="3:3">
      <c r="C445" s="79">
        <f t="shared" si="6"/>
        <v>0</v>
      </c>
    </row>
    <row r="446" spans="3:3">
      <c r="C446" s="79">
        <f t="shared" si="6"/>
        <v>0</v>
      </c>
    </row>
    <row r="447" spans="3:3">
      <c r="C447" s="79">
        <f t="shared" si="6"/>
        <v>0</v>
      </c>
    </row>
    <row r="448" spans="3:3">
      <c r="C448" s="79">
        <f t="shared" si="6"/>
        <v>0</v>
      </c>
    </row>
    <row r="449" spans="3:3">
      <c r="C449" s="79">
        <f t="shared" si="6"/>
        <v>0</v>
      </c>
    </row>
    <row r="450" spans="3:3">
      <c r="C450" s="79">
        <f t="shared" si="6"/>
        <v>0</v>
      </c>
    </row>
    <row r="451" spans="3:3">
      <c r="C451" s="79">
        <f t="shared" si="6"/>
        <v>0</v>
      </c>
    </row>
    <row r="452" spans="3:3">
      <c r="C452" s="79">
        <f t="shared" si="6"/>
        <v>0</v>
      </c>
    </row>
  </sheetData>
  <mergeCells count="8">
    <mergeCell ref="B2:D2"/>
    <mergeCell ref="B69:D69"/>
    <mergeCell ref="B134:D134"/>
    <mergeCell ref="B200:D200"/>
    <mergeCell ref="A2:A4"/>
    <mergeCell ref="A69:A71"/>
    <mergeCell ref="A134:A136"/>
    <mergeCell ref="A200:A202"/>
  </mergeCells>
  <pageMargins left="0.7" right="0.7" top="0.75" bottom="0.75" header="0.3" footer="0.3"/>
  <pageSetup paperSize="9" orientation="portrait"/>
  <headerFooter/>
  <drawing r:id="rId2"/>
  <legacyDrawing r:id="rId3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Лист24"/>
  <dimension ref="A1:W94"/>
  <sheetViews>
    <sheetView workbookViewId="0">
      <selection activeCell="B3" sqref="B3"/>
    </sheetView>
  </sheetViews>
  <sheetFormatPr defaultColWidth="9.18095238095238" defaultRowHeight="12.75"/>
  <cols>
    <col min="1" max="1" width="24.2666666666667" style="61" customWidth="1"/>
    <col min="2" max="2" width="44.4571428571429" style="61" customWidth="1"/>
    <col min="3" max="3" width="11" style="61" customWidth="1"/>
    <col min="4" max="4" width="10.4571428571429" style="61" customWidth="1"/>
    <col min="5" max="5" width="28.2666666666667" style="61" customWidth="1"/>
    <col min="6" max="6" width="10.4571428571429" style="61" customWidth="1"/>
    <col min="7" max="7" width="26.4571428571429" style="61" customWidth="1"/>
    <col min="8" max="8" width="7.18095238095238" style="61" customWidth="1"/>
    <col min="9" max="9" width="12" style="61" customWidth="1"/>
    <col min="10" max="10" width="12.4571428571429" style="61" customWidth="1"/>
    <col min="11" max="11" width="36.1809523809524" style="61" customWidth="1"/>
    <col min="12" max="12" width="18.7238095238095" style="61" customWidth="1"/>
    <col min="13" max="13" width="32.4571428571429" style="61" customWidth="1"/>
    <col min="14" max="15" width="12" style="61" customWidth="1"/>
    <col min="16" max="16" width="10.2666666666667" style="61" customWidth="1"/>
    <col min="17" max="17" width="12.7238095238095" style="61" customWidth="1"/>
    <col min="18" max="18" width="10.4571428571429" style="61" customWidth="1"/>
    <col min="19" max="19" width="11.4571428571429" style="61" customWidth="1"/>
    <col min="20" max="20" width="18.4571428571429" style="61" customWidth="1"/>
    <col min="21" max="21" width="10.2666666666667" style="61" customWidth="1"/>
    <col min="22" max="22" width="8.45714285714286" style="61" customWidth="1"/>
    <col min="23" max="23" width="3.45714285714286" style="61" customWidth="1"/>
    <col min="24" max="24" width="9.45714285714286" style="61" customWidth="1"/>
    <col min="25" max="16384" width="9.18095238095238" style="61"/>
  </cols>
  <sheetData>
    <row r="1" s="60" customFormat="1" ht="15" spans="1:23">
      <c r="A1" s="41" t="s">
        <v>438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62"/>
      <c r="P1" s="62"/>
      <c r="Q1" s="62"/>
      <c r="R1" s="62"/>
      <c r="S1" s="62"/>
      <c r="T1" s="62"/>
      <c r="U1" s="62"/>
      <c r="V1" s="62"/>
      <c r="W1" s="62"/>
    </row>
    <row r="2" ht="15" spans="1:23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</row>
    <row r="3" ht="15" spans="1:23">
      <c r="A3" s="43"/>
      <c r="B3" s="43">
        <f>VLOOKUP('1.Общие данные по зданию'!C7,Климатология2019!B6:F94,IF('1.Общие данные по зданию'!C17=18,2,IF('1.Общие данные по зданию'!C17=20,3,IF('1.Общие данные по зданию'!C17=21,4,5))),0)</f>
        <v>2318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</row>
    <row r="4" ht="31.5" customHeight="1" spans="1:23">
      <c r="A4" s="44"/>
      <c r="B4" s="44"/>
      <c r="C4" s="45" t="s">
        <v>439</v>
      </c>
      <c r="D4" s="45"/>
      <c r="E4" s="45"/>
      <c r="F4" s="45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</row>
    <row r="5" ht="18" spans="1:23">
      <c r="A5" s="44"/>
      <c r="B5" s="44" t="s">
        <v>42</v>
      </c>
      <c r="C5" s="39" t="s">
        <v>440</v>
      </c>
      <c r="D5" s="39" t="s">
        <v>441</v>
      </c>
      <c r="E5" s="39" t="s">
        <v>442</v>
      </c>
      <c r="F5" s="39" t="s">
        <v>443</v>
      </c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</row>
    <row r="6" ht="15.75" spans="1:6">
      <c r="A6" s="23">
        <v>1</v>
      </c>
      <c r="B6" s="23" t="s">
        <v>444</v>
      </c>
      <c r="C6" s="39">
        <v>2036</v>
      </c>
      <c r="D6" s="39">
        <v>2348</v>
      </c>
      <c r="E6" s="39">
        <v>2504</v>
      </c>
      <c r="F6" s="39">
        <v>2972</v>
      </c>
    </row>
    <row r="7" ht="15.75" spans="1:6">
      <c r="A7" s="23">
        <v>2</v>
      </c>
      <c r="B7" s="23" t="s">
        <v>445</v>
      </c>
      <c r="C7" s="39">
        <v>3767</v>
      </c>
      <c r="D7" s="39">
        <v>4131</v>
      </c>
      <c r="E7" s="39">
        <v>4313</v>
      </c>
      <c r="F7" s="39">
        <v>4859</v>
      </c>
    </row>
    <row r="8" ht="15.75" spans="1:6">
      <c r="A8" s="23">
        <v>3</v>
      </c>
      <c r="B8" s="23" t="s">
        <v>446</v>
      </c>
      <c r="C8" s="39">
        <v>5887</v>
      </c>
      <c r="D8" s="39">
        <v>6309</v>
      </c>
      <c r="E8" s="39">
        <v>6520</v>
      </c>
      <c r="F8" s="39">
        <v>7153</v>
      </c>
    </row>
    <row r="9" ht="15.75" spans="1:6">
      <c r="A9" s="23">
        <v>4</v>
      </c>
      <c r="B9" s="23" t="s">
        <v>447</v>
      </c>
      <c r="C9" s="39">
        <v>4431</v>
      </c>
      <c r="D9" s="39">
        <v>4853</v>
      </c>
      <c r="E9" s="39">
        <v>5064</v>
      </c>
      <c r="F9" s="39">
        <v>5697</v>
      </c>
    </row>
    <row r="10" ht="15.75" spans="1:6">
      <c r="A10" s="23">
        <v>5</v>
      </c>
      <c r="B10" s="23" t="s">
        <v>448</v>
      </c>
      <c r="C10" s="39">
        <v>1925</v>
      </c>
      <c r="D10" s="39">
        <v>2227</v>
      </c>
      <c r="E10" s="39">
        <v>2378</v>
      </c>
      <c r="F10" s="39">
        <v>2831</v>
      </c>
    </row>
    <row r="11" ht="15.75" spans="1:6">
      <c r="A11" s="23">
        <v>6</v>
      </c>
      <c r="B11" s="23" t="s">
        <v>449</v>
      </c>
      <c r="C11" s="39">
        <v>2575</v>
      </c>
      <c r="D11" s="39">
        <v>2891</v>
      </c>
      <c r="E11" s="39">
        <v>3049</v>
      </c>
      <c r="F11" s="39">
        <v>3523</v>
      </c>
    </row>
    <row r="12" ht="15.75" spans="1:6">
      <c r="A12" s="23">
        <v>7</v>
      </c>
      <c r="B12" s="23" t="s">
        <v>450</v>
      </c>
      <c r="C12" s="39">
        <v>2426</v>
      </c>
      <c r="D12" s="39">
        <v>2736</v>
      </c>
      <c r="E12" s="39">
        <v>2891</v>
      </c>
      <c r="F12" s="39">
        <v>3356</v>
      </c>
    </row>
    <row r="13" ht="15.75" spans="1:6">
      <c r="A13" s="23">
        <v>8</v>
      </c>
      <c r="B13" s="23" t="s">
        <v>451</v>
      </c>
      <c r="C13" s="39">
        <v>2699</v>
      </c>
      <c r="D13" s="39">
        <v>3011</v>
      </c>
      <c r="E13" s="39">
        <v>3167</v>
      </c>
      <c r="F13" s="39">
        <v>3635</v>
      </c>
    </row>
    <row r="14" ht="15.75" spans="1:6">
      <c r="A14" s="23">
        <v>9</v>
      </c>
      <c r="B14" s="23" t="s">
        <v>452</v>
      </c>
      <c r="C14" s="39">
        <v>2426</v>
      </c>
      <c r="D14" s="39">
        <v>2740</v>
      </c>
      <c r="E14" s="39">
        <v>2897</v>
      </c>
      <c r="F14" s="39">
        <v>3368</v>
      </c>
    </row>
    <row r="15" ht="15.75" spans="1:6">
      <c r="A15" s="23">
        <v>10</v>
      </c>
      <c r="B15" s="23" t="s">
        <v>453</v>
      </c>
      <c r="C15" s="39">
        <v>4371</v>
      </c>
      <c r="D15" s="39">
        <v>4841</v>
      </c>
      <c r="E15" s="39">
        <v>5076</v>
      </c>
      <c r="F15" s="39">
        <v>5781</v>
      </c>
    </row>
    <row r="16" ht="15.75" spans="1:6">
      <c r="A16" s="23">
        <v>11</v>
      </c>
      <c r="B16" s="23" t="s">
        <v>454</v>
      </c>
      <c r="C16" s="39">
        <v>4939</v>
      </c>
      <c r="D16" s="39">
        <v>5387</v>
      </c>
      <c r="E16" s="39">
        <v>5611</v>
      </c>
      <c r="F16" s="39">
        <v>6283</v>
      </c>
    </row>
    <row r="17" ht="15.75" spans="1:6">
      <c r="A17" s="23">
        <v>12</v>
      </c>
      <c r="B17" s="23" t="s">
        <v>455</v>
      </c>
      <c r="C17" s="39">
        <v>4305</v>
      </c>
      <c r="D17" s="39">
        <v>4757</v>
      </c>
      <c r="E17" s="39">
        <v>4983</v>
      </c>
      <c r="F17" s="39">
        <v>5661</v>
      </c>
    </row>
    <row r="18" ht="15.75" spans="1:6">
      <c r="A18" s="23">
        <v>13</v>
      </c>
      <c r="B18" s="23" t="s">
        <v>456</v>
      </c>
      <c r="C18" s="39">
        <v>4102</v>
      </c>
      <c r="D18" s="39">
        <v>4526</v>
      </c>
      <c r="E18" s="39">
        <v>4738</v>
      </c>
      <c r="F18" s="39">
        <v>5374</v>
      </c>
    </row>
    <row r="19" ht="15.75" spans="1:6">
      <c r="A19" s="23">
        <v>14</v>
      </c>
      <c r="B19" s="23" t="s">
        <v>457</v>
      </c>
      <c r="C19" s="39">
        <v>9185</v>
      </c>
      <c r="D19" s="39">
        <v>9689</v>
      </c>
      <c r="E19" s="39">
        <v>9941</v>
      </c>
      <c r="F19" s="39">
        <v>10697</v>
      </c>
    </row>
    <row r="20" ht="15.75" spans="1:6">
      <c r="A20" s="23"/>
      <c r="B20" s="23" t="s">
        <v>458</v>
      </c>
      <c r="C20" s="39">
        <v>9363</v>
      </c>
      <c r="D20" s="39">
        <v>9863</v>
      </c>
      <c r="E20" s="39">
        <v>10113</v>
      </c>
      <c r="F20" s="39">
        <v>10863</v>
      </c>
    </row>
    <row r="21" ht="15.75" spans="1:6">
      <c r="A21" s="23"/>
      <c r="B21" s="23" t="s">
        <v>459</v>
      </c>
      <c r="C21" s="39">
        <v>9524</v>
      </c>
      <c r="D21" s="39">
        <v>10096</v>
      </c>
      <c r="E21" s="39">
        <v>10382</v>
      </c>
      <c r="F21" s="39">
        <v>11240</v>
      </c>
    </row>
    <row r="22" ht="15.75" spans="1:6">
      <c r="A22" s="23">
        <v>15</v>
      </c>
      <c r="B22" s="23" t="s">
        <v>460</v>
      </c>
      <c r="C22" s="39">
        <v>2326</v>
      </c>
      <c r="D22" s="39">
        <v>2614</v>
      </c>
      <c r="E22" s="39">
        <v>2758</v>
      </c>
      <c r="F22" s="39">
        <v>3190</v>
      </c>
    </row>
    <row r="23" ht="15.75" spans="1:6">
      <c r="A23" s="23">
        <v>16</v>
      </c>
      <c r="B23" s="23" t="s">
        <v>461</v>
      </c>
      <c r="C23" s="39">
        <v>3938</v>
      </c>
      <c r="D23" s="39">
        <v>4326</v>
      </c>
      <c r="E23" s="39">
        <v>4520</v>
      </c>
      <c r="F23" s="39">
        <v>5102</v>
      </c>
    </row>
    <row r="24" ht="15.75" spans="1:6">
      <c r="A24" s="23">
        <v>17</v>
      </c>
      <c r="B24" s="23" t="s">
        <v>462</v>
      </c>
      <c r="C24" s="39">
        <v>6170</v>
      </c>
      <c r="D24" s="39">
        <v>6582</v>
      </c>
      <c r="E24" s="39">
        <v>6788</v>
      </c>
      <c r="F24" s="39">
        <v>7406</v>
      </c>
    </row>
    <row r="25" ht="15.75" spans="1:6">
      <c r="A25" s="23">
        <v>18</v>
      </c>
      <c r="B25" s="23" t="s">
        <v>463</v>
      </c>
      <c r="C25" s="39">
        <v>4670</v>
      </c>
      <c r="D25" s="39">
        <v>5118</v>
      </c>
      <c r="E25" s="39">
        <v>5342</v>
      </c>
      <c r="F25" s="39">
        <v>6014</v>
      </c>
    </row>
    <row r="26" ht="15.75" spans="1:6">
      <c r="A26" s="23">
        <v>19</v>
      </c>
      <c r="B26" s="23" t="s">
        <v>464</v>
      </c>
      <c r="C26" s="39">
        <v>5511</v>
      </c>
      <c r="D26" s="39">
        <v>5979</v>
      </c>
      <c r="E26" s="39">
        <v>6213</v>
      </c>
      <c r="F26" s="39">
        <v>6915</v>
      </c>
    </row>
    <row r="27" ht="15.75" spans="1:6">
      <c r="A27" s="23">
        <v>20</v>
      </c>
      <c r="B27" s="23" t="s">
        <v>465</v>
      </c>
      <c r="C27" s="39">
        <v>2356</v>
      </c>
      <c r="D27" s="39">
        <v>2662</v>
      </c>
      <c r="E27" s="39">
        <v>2815</v>
      </c>
      <c r="F27" s="39">
        <v>3274</v>
      </c>
    </row>
    <row r="28" ht="15.75" spans="1:6">
      <c r="A28" s="23">
        <v>21</v>
      </c>
      <c r="B28" s="23" t="s">
        <v>466</v>
      </c>
      <c r="C28" s="39">
        <v>4278</v>
      </c>
      <c r="D28" s="39">
        <v>4726</v>
      </c>
      <c r="E28" s="39">
        <v>4950</v>
      </c>
      <c r="F28" s="39">
        <v>5622</v>
      </c>
    </row>
    <row r="29" ht="15.75" spans="1:6">
      <c r="A29" s="23">
        <v>22</v>
      </c>
      <c r="B29" s="23" t="s">
        <v>467</v>
      </c>
      <c r="C29" s="39">
        <v>5054</v>
      </c>
      <c r="D29" s="39">
        <v>5486</v>
      </c>
      <c r="E29" s="39">
        <v>5702</v>
      </c>
      <c r="F29" s="39">
        <v>6350</v>
      </c>
    </row>
    <row r="30" ht="15.75" spans="1:6">
      <c r="A30" s="23">
        <v>23</v>
      </c>
      <c r="B30" s="23" t="s">
        <v>116</v>
      </c>
      <c r="C30" s="39">
        <v>2016</v>
      </c>
      <c r="D30" s="39">
        <v>2318</v>
      </c>
      <c r="E30" s="39">
        <v>2469</v>
      </c>
      <c r="F30" s="39">
        <v>2922</v>
      </c>
    </row>
    <row r="31" ht="15.75" spans="1:6">
      <c r="A31" s="23">
        <v>24</v>
      </c>
      <c r="B31" s="23" t="s">
        <v>468</v>
      </c>
      <c r="C31" s="39">
        <v>5081</v>
      </c>
      <c r="D31" s="39">
        <v>5545</v>
      </c>
      <c r="E31" s="39">
        <v>5777</v>
      </c>
      <c r="F31" s="39">
        <v>6473</v>
      </c>
    </row>
    <row r="32" ht="15.75" spans="1:6">
      <c r="A32" s="23"/>
      <c r="B32" s="23" t="s">
        <v>469</v>
      </c>
      <c r="C32" s="39">
        <v>8558</v>
      </c>
      <c r="D32" s="39">
        <v>9072</v>
      </c>
      <c r="E32" s="39">
        <v>9329</v>
      </c>
      <c r="F32" s="39">
        <v>10100</v>
      </c>
    </row>
    <row r="33" ht="15.75" spans="1:6">
      <c r="A33" s="23"/>
      <c r="B33" s="23" t="s">
        <v>470</v>
      </c>
      <c r="C33" s="39">
        <v>8573</v>
      </c>
      <c r="D33" s="39">
        <v>9137</v>
      </c>
      <c r="E33" s="39">
        <v>9419</v>
      </c>
      <c r="F33" s="39">
        <v>10265</v>
      </c>
    </row>
    <row r="34" ht="15.75" spans="1:6">
      <c r="A34" s="23">
        <v>25</v>
      </c>
      <c r="B34" s="23" t="s">
        <v>471</v>
      </c>
      <c r="C34" s="39">
        <v>3059</v>
      </c>
      <c r="D34" s="39">
        <v>3351</v>
      </c>
      <c r="E34" s="39">
        <v>3497</v>
      </c>
      <c r="F34" s="39">
        <v>3935</v>
      </c>
    </row>
    <row r="35" ht="15.75" spans="1:6">
      <c r="A35" s="23">
        <v>26</v>
      </c>
      <c r="B35" s="23" t="s">
        <v>472</v>
      </c>
      <c r="C35" s="39">
        <v>2489</v>
      </c>
      <c r="D35" s="39">
        <v>2805</v>
      </c>
      <c r="E35" s="39">
        <v>2963</v>
      </c>
      <c r="F35" s="39">
        <v>3437</v>
      </c>
    </row>
    <row r="36" ht="15.75" spans="1:6">
      <c r="A36" s="23">
        <v>27</v>
      </c>
      <c r="B36" s="23" t="s">
        <v>473</v>
      </c>
      <c r="C36" s="39">
        <v>5039</v>
      </c>
      <c r="D36" s="39">
        <v>5447</v>
      </c>
      <c r="E36" s="39">
        <v>5651</v>
      </c>
      <c r="F36" s="39">
        <v>6263</v>
      </c>
    </row>
    <row r="37" ht="15.75" spans="1:6">
      <c r="A37" s="23">
        <v>28</v>
      </c>
      <c r="B37" s="23" t="s">
        <v>474</v>
      </c>
      <c r="C37" s="39">
        <v>5566</v>
      </c>
      <c r="D37" s="39">
        <v>5976</v>
      </c>
      <c r="E37" s="39">
        <v>6181</v>
      </c>
      <c r="F37" s="39">
        <v>6796</v>
      </c>
    </row>
    <row r="38" ht="15.75" spans="1:6">
      <c r="A38" s="23">
        <v>29</v>
      </c>
      <c r="B38" s="23" t="s">
        <v>475</v>
      </c>
      <c r="C38" s="39">
        <v>4828</v>
      </c>
      <c r="D38" s="39">
        <v>5290</v>
      </c>
      <c r="E38" s="39">
        <v>5521</v>
      </c>
      <c r="F38" s="39">
        <v>6214</v>
      </c>
    </row>
    <row r="39" ht="15.75" spans="1:6">
      <c r="A39" s="23">
        <v>30</v>
      </c>
      <c r="B39" s="23" t="s">
        <v>476</v>
      </c>
      <c r="C39" s="39">
        <v>2587</v>
      </c>
      <c r="D39" s="39">
        <v>2895</v>
      </c>
      <c r="E39" s="39">
        <v>3049</v>
      </c>
      <c r="F39" s="39">
        <v>3511</v>
      </c>
    </row>
    <row r="40" ht="15.75" spans="1:6">
      <c r="A40" s="23">
        <v>31</v>
      </c>
      <c r="B40" s="23" t="s">
        <v>477</v>
      </c>
      <c r="C40" s="39">
        <v>2882</v>
      </c>
      <c r="D40" s="39">
        <v>3204</v>
      </c>
      <c r="E40" s="39">
        <v>3365</v>
      </c>
      <c r="F40" s="39">
        <v>3848</v>
      </c>
    </row>
    <row r="41" ht="15.75" spans="1:6">
      <c r="A41" s="23">
        <v>32</v>
      </c>
      <c r="B41" s="23" t="s">
        <v>478</v>
      </c>
      <c r="C41" s="39">
        <v>2946</v>
      </c>
      <c r="D41" s="39">
        <v>3268</v>
      </c>
      <c r="E41" s="39">
        <v>3429</v>
      </c>
      <c r="F41" s="39">
        <v>3912</v>
      </c>
    </row>
    <row r="42" ht="15.75" spans="1:6">
      <c r="A42" s="23">
        <v>33</v>
      </c>
      <c r="B42" s="23" t="s">
        <v>479</v>
      </c>
      <c r="C42" s="39">
        <v>3954</v>
      </c>
      <c r="D42" s="39">
        <v>4402</v>
      </c>
      <c r="E42" s="39">
        <v>4626</v>
      </c>
      <c r="F42" s="39">
        <v>5298</v>
      </c>
    </row>
    <row r="43" ht="15.75" spans="1:6">
      <c r="A43" s="23">
        <v>34</v>
      </c>
      <c r="B43" s="23" t="s">
        <v>480</v>
      </c>
      <c r="C43" s="39">
        <v>2928</v>
      </c>
      <c r="D43" s="39">
        <v>3242</v>
      </c>
      <c r="E43" s="39">
        <v>3399</v>
      </c>
      <c r="F43" s="39">
        <v>3870</v>
      </c>
    </row>
    <row r="44" ht="15.75" spans="1:6">
      <c r="A44" s="23">
        <v>35</v>
      </c>
      <c r="B44" s="23" t="s">
        <v>481</v>
      </c>
      <c r="C44" s="39">
        <v>4234</v>
      </c>
      <c r="D44" s="39">
        <v>4682</v>
      </c>
      <c r="E44" s="39">
        <v>4906</v>
      </c>
      <c r="F44" s="39">
        <v>5578</v>
      </c>
    </row>
    <row r="45" ht="15.75" spans="1:6">
      <c r="A45" s="23">
        <v>36</v>
      </c>
      <c r="B45" s="23" t="s">
        <v>482</v>
      </c>
      <c r="C45" s="39">
        <v>2979</v>
      </c>
      <c r="D45" s="39">
        <v>3301</v>
      </c>
      <c r="E45" s="39">
        <v>3462</v>
      </c>
      <c r="F45" s="39">
        <v>3945</v>
      </c>
    </row>
    <row r="46" ht="15.75" spans="1:6">
      <c r="A46" s="23">
        <v>37</v>
      </c>
      <c r="B46" s="23" t="s">
        <v>483</v>
      </c>
      <c r="C46" s="39">
        <v>3962</v>
      </c>
      <c r="D46" s="39">
        <v>4388</v>
      </c>
      <c r="E46" s="39">
        <v>4601</v>
      </c>
      <c r="F46" s="39">
        <v>5240</v>
      </c>
    </row>
    <row r="47" ht="15.75" spans="1:6">
      <c r="A47" s="23">
        <v>38</v>
      </c>
      <c r="B47" s="23" t="s">
        <v>484</v>
      </c>
      <c r="C47" s="39">
        <v>5271</v>
      </c>
      <c r="D47" s="39">
        <v>5691</v>
      </c>
      <c r="E47" s="39">
        <v>5901</v>
      </c>
      <c r="F47" s="39">
        <v>6531</v>
      </c>
    </row>
    <row r="48" ht="15.75" spans="1:6">
      <c r="A48" s="23">
        <v>39</v>
      </c>
      <c r="B48" s="23" t="s">
        <v>485</v>
      </c>
      <c r="C48" s="39">
        <v>2293</v>
      </c>
      <c r="D48" s="39">
        <v>2605</v>
      </c>
      <c r="E48" s="39">
        <v>2761</v>
      </c>
      <c r="F48" s="39">
        <v>3229</v>
      </c>
    </row>
    <row r="49" ht="15.75" spans="1:6">
      <c r="A49" s="23">
        <v>40</v>
      </c>
      <c r="B49" s="23" t="s">
        <v>486</v>
      </c>
      <c r="C49" s="39">
        <v>3257</v>
      </c>
      <c r="D49" s="39">
        <v>3625</v>
      </c>
      <c r="E49" s="39">
        <v>3809</v>
      </c>
      <c r="F49" s="39">
        <v>4361</v>
      </c>
    </row>
    <row r="50" ht="15.75" spans="1:6">
      <c r="A50" s="23">
        <v>41</v>
      </c>
      <c r="B50" s="23" t="s">
        <v>487</v>
      </c>
      <c r="C50" s="39">
        <v>4773</v>
      </c>
      <c r="D50" s="39">
        <v>5289</v>
      </c>
      <c r="E50" s="39">
        <v>5547</v>
      </c>
      <c r="F50" s="39">
        <v>6321</v>
      </c>
    </row>
    <row r="51" ht="15.75" spans="1:6">
      <c r="A51" s="23">
        <v>42</v>
      </c>
      <c r="B51" s="23" t="s">
        <v>488</v>
      </c>
      <c r="C51" s="39">
        <v>5302</v>
      </c>
      <c r="D51" s="39">
        <v>5742</v>
      </c>
      <c r="E51" s="39">
        <v>5962</v>
      </c>
      <c r="F51" s="39">
        <v>6622</v>
      </c>
    </row>
    <row r="52" ht="15.75" spans="1:6">
      <c r="A52" s="23">
        <v>43</v>
      </c>
      <c r="B52" s="23" t="s">
        <v>489</v>
      </c>
      <c r="C52" s="39">
        <v>4601</v>
      </c>
      <c r="D52" s="39">
        <v>5051</v>
      </c>
      <c r="E52" s="39">
        <v>5276</v>
      </c>
      <c r="F52" s="39">
        <v>5951</v>
      </c>
    </row>
    <row r="53" ht="15.75" spans="1:6">
      <c r="A53" s="23">
        <v>44</v>
      </c>
      <c r="B53" s="23" t="s">
        <v>490</v>
      </c>
      <c r="C53" s="39">
        <v>3753</v>
      </c>
      <c r="D53" s="39">
        <v>4147</v>
      </c>
      <c r="E53" s="39">
        <v>4344</v>
      </c>
      <c r="F53" s="39">
        <v>4935</v>
      </c>
    </row>
    <row r="54" ht="15.75" spans="1:6">
      <c r="A54" s="23">
        <v>45</v>
      </c>
      <c r="B54" s="23" t="s">
        <v>491</v>
      </c>
      <c r="C54" s="39">
        <v>5061</v>
      </c>
      <c r="D54" s="39">
        <v>5503</v>
      </c>
      <c r="E54" s="39">
        <v>5724</v>
      </c>
      <c r="F54" s="39">
        <v>6387</v>
      </c>
    </row>
    <row r="55" ht="15.75" spans="1:6">
      <c r="A55" s="23">
        <v>46</v>
      </c>
      <c r="B55" s="23" t="s">
        <v>492</v>
      </c>
      <c r="C55" s="39">
        <v>3032</v>
      </c>
      <c r="D55" s="39">
        <v>3394</v>
      </c>
      <c r="E55" s="39">
        <v>3575</v>
      </c>
      <c r="F55" s="39">
        <v>4118</v>
      </c>
    </row>
    <row r="56" ht="15.75" spans="1:6">
      <c r="A56" s="23">
        <v>47</v>
      </c>
      <c r="B56" s="23" t="s">
        <v>493</v>
      </c>
      <c r="C56" s="39">
        <v>3370</v>
      </c>
      <c r="D56" s="39">
        <v>3770</v>
      </c>
      <c r="E56" s="39">
        <v>3970</v>
      </c>
      <c r="F56" s="39">
        <v>4570</v>
      </c>
    </row>
    <row r="57" ht="15.75" spans="1:6">
      <c r="A57" s="23">
        <v>48</v>
      </c>
      <c r="B57" s="23" t="s">
        <v>494</v>
      </c>
      <c r="C57" s="39">
        <v>3306</v>
      </c>
      <c r="D57" s="39">
        <v>3654</v>
      </c>
      <c r="E57" s="39">
        <v>3828</v>
      </c>
      <c r="F57" s="39">
        <v>4350</v>
      </c>
    </row>
    <row r="58" ht="15.75" spans="1:6">
      <c r="A58" s="23">
        <v>49</v>
      </c>
      <c r="B58" s="23" t="s">
        <v>495</v>
      </c>
      <c r="C58" s="39">
        <v>6312</v>
      </c>
      <c r="D58" s="39">
        <v>6820</v>
      </c>
      <c r="E58" s="39">
        <v>7074</v>
      </c>
      <c r="F58" s="39">
        <v>7836</v>
      </c>
    </row>
    <row r="59" ht="15.75" spans="1:6">
      <c r="A59" s="23">
        <v>50</v>
      </c>
      <c r="B59" s="23" t="s">
        <v>496</v>
      </c>
      <c r="C59" s="39">
        <v>3115</v>
      </c>
      <c r="D59" s="39">
        <v>3463</v>
      </c>
      <c r="E59" s="39">
        <v>3637</v>
      </c>
      <c r="F59" s="39">
        <v>4159</v>
      </c>
    </row>
    <row r="60" ht="15.75" spans="1:6">
      <c r="A60" s="23">
        <v>51</v>
      </c>
      <c r="B60" s="23" t="s">
        <v>497</v>
      </c>
      <c r="C60" s="39">
        <v>5562</v>
      </c>
      <c r="D60" s="39">
        <v>6088</v>
      </c>
      <c r="E60" s="39">
        <v>6351</v>
      </c>
      <c r="F60" s="39">
        <v>7140</v>
      </c>
    </row>
    <row r="61" ht="15.75" spans="1:6">
      <c r="A61" s="23">
        <v>52</v>
      </c>
      <c r="B61" s="23" t="s">
        <v>498</v>
      </c>
      <c r="C61" s="39">
        <v>3683</v>
      </c>
      <c r="D61" s="39">
        <v>4079</v>
      </c>
      <c r="E61" s="39">
        <v>4277</v>
      </c>
      <c r="F61" s="39">
        <v>4871</v>
      </c>
    </row>
    <row r="62" ht="15.75" spans="1:6">
      <c r="A62" s="23">
        <v>53</v>
      </c>
      <c r="B62" s="23" t="s">
        <v>499</v>
      </c>
      <c r="C62" s="39">
        <v>3383</v>
      </c>
      <c r="D62" s="39">
        <v>3773</v>
      </c>
      <c r="E62" s="39">
        <v>3968</v>
      </c>
      <c r="F62" s="39">
        <v>4553</v>
      </c>
    </row>
    <row r="63" ht="15.75" spans="1:6">
      <c r="A63" s="23">
        <v>54</v>
      </c>
      <c r="B63" s="23" t="s">
        <v>500</v>
      </c>
      <c r="C63" s="39">
        <v>5037</v>
      </c>
      <c r="D63" s="39">
        <v>5475</v>
      </c>
      <c r="E63" s="39">
        <v>5694</v>
      </c>
      <c r="F63" s="39">
        <v>6351</v>
      </c>
    </row>
    <row r="64" ht="15.75" spans="1:6">
      <c r="A64" s="23">
        <v>55</v>
      </c>
      <c r="B64" s="23" t="s">
        <v>501</v>
      </c>
      <c r="C64" s="39">
        <v>5238</v>
      </c>
      <c r="D64" s="39">
        <v>5680</v>
      </c>
      <c r="E64" s="39">
        <v>5901</v>
      </c>
      <c r="F64" s="39">
        <v>6564</v>
      </c>
    </row>
    <row r="65" ht="15.75" spans="1:6">
      <c r="A65" s="23">
        <v>56</v>
      </c>
      <c r="B65" s="23" t="s">
        <v>502</v>
      </c>
      <c r="C65" s="39">
        <v>4494</v>
      </c>
      <c r="D65" s="39">
        <v>4920</v>
      </c>
      <c r="E65" s="39">
        <v>5133</v>
      </c>
      <c r="F65" s="39">
        <v>5772</v>
      </c>
    </row>
    <row r="66" ht="15.75" spans="1:6">
      <c r="A66" s="23">
        <v>57</v>
      </c>
      <c r="B66" s="23" t="s">
        <v>503</v>
      </c>
      <c r="C66" s="39">
        <v>3498</v>
      </c>
      <c r="D66" s="39">
        <v>3922</v>
      </c>
      <c r="E66" s="39">
        <v>4134</v>
      </c>
      <c r="F66" s="39">
        <v>4770</v>
      </c>
    </row>
    <row r="67" ht="15.75" spans="1:6">
      <c r="A67" s="23">
        <v>58</v>
      </c>
      <c r="B67" s="23" t="s">
        <v>504</v>
      </c>
      <c r="C67" s="39">
        <v>3996</v>
      </c>
      <c r="D67" s="39">
        <v>4420</v>
      </c>
      <c r="E67" s="39">
        <v>4632</v>
      </c>
      <c r="F67" s="39">
        <v>5268</v>
      </c>
    </row>
    <row r="68" ht="15.75" spans="1:6">
      <c r="A68" s="23">
        <v>59</v>
      </c>
      <c r="B68" s="23" t="s">
        <v>505</v>
      </c>
      <c r="C68" s="39">
        <v>4682</v>
      </c>
      <c r="D68" s="39">
        <v>5130</v>
      </c>
      <c r="E68" s="39">
        <v>5354</v>
      </c>
      <c r="F68" s="39">
        <v>6026</v>
      </c>
    </row>
    <row r="69" ht="15.75" spans="1:6">
      <c r="A69" s="23">
        <v>60</v>
      </c>
      <c r="B69" s="23" t="s">
        <v>506</v>
      </c>
      <c r="C69" s="39">
        <v>3380</v>
      </c>
      <c r="D69" s="39">
        <v>3796</v>
      </c>
      <c r="E69" s="39">
        <v>4004</v>
      </c>
      <c r="F69" s="39">
        <v>4628</v>
      </c>
    </row>
    <row r="70" ht="15.75" spans="1:6">
      <c r="A70" s="23">
        <v>61</v>
      </c>
      <c r="B70" s="23" t="s">
        <v>507</v>
      </c>
      <c r="C70" s="39">
        <v>2424</v>
      </c>
      <c r="D70" s="39">
        <v>2726</v>
      </c>
      <c r="E70" s="39">
        <v>2877</v>
      </c>
      <c r="F70" s="39">
        <v>3330</v>
      </c>
    </row>
    <row r="71" ht="15.75" spans="1:6">
      <c r="A71" s="23">
        <v>62</v>
      </c>
      <c r="B71" s="23" t="s">
        <v>508</v>
      </c>
      <c r="C71" s="39">
        <v>3294</v>
      </c>
      <c r="D71" s="39">
        <v>3638</v>
      </c>
      <c r="E71" s="39">
        <v>3810</v>
      </c>
      <c r="F71" s="39">
        <v>4326</v>
      </c>
    </row>
    <row r="72" ht="15.75" spans="1:6">
      <c r="A72" s="23">
        <v>63</v>
      </c>
      <c r="B72" s="23" t="s">
        <v>509</v>
      </c>
      <c r="C72" s="39">
        <v>3837</v>
      </c>
      <c r="D72" s="39">
        <v>4185</v>
      </c>
      <c r="E72" s="39">
        <v>4359</v>
      </c>
      <c r="F72" s="39">
        <v>4881</v>
      </c>
    </row>
    <row r="73" ht="15.75" spans="1:6">
      <c r="A73" s="23">
        <v>64</v>
      </c>
      <c r="B73" s="23" t="s">
        <v>510</v>
      </c>
      <c r="C73" s="39">
        <v>3349</v>
      </c>
      <c r="D73" s="39">
        <v>3671</v>
      </c>
      <c r="E73" s="39">
        <v>3832</v>
      </c>
      <c r="F73" s="39">
        <v>4315</v>
      </c>
    </row>
    <row r="74" ht="15.75" spans="1:6">
      <c r="A74" s="23">
        <v>65</v>
      </c>
      <c r="B74" s="23" t="s">
        <v>511</v>
      </c>
      <c r="C74" s="39">
        <v>4515</v>
      </c>
      <c r="D74" s="39">
        <v>4919</v>
      </c>
      <c r="E74" s="39">
        <v>5121</v>
      </c>
      <c r="F74" s="39">
        <v>5727</v>
      </c>
    </row>
    <row r="75" ht="15.75" spans="1:6">
      <c r="A75" s="23">
        <v>66</v>
      </c>
      <c r="B75" s="23" t="s">
        <v>512</v>
      </c>
      <c r="C75" s="39">
        <v>4749</v>
      </c>
      <c r="D75" s="39">
        <v>5197</v>
      </c>
      <c r="E75" s="39">
        <v>5421</v>
      </c>
      <c r="F75" s="39">
        <v>6093</v>
      </c>
    </row>
    <row r="76" ht="15.75" spans="1:6">
      <c r="A76" s="23">
        <v>67</v>
      </c>
      <c r="B76" s="23" t="s">
        <v>513</v>
      </c>
      <c r="C76" s="39">
        <v>3503</v>
      </c>
      <c r="D76" s="39">
        <v>3925</v>
      </c>
      <c r="E76" s="39">
        <v>4136</v>
      </c>
      <c r="F76" s="39">
        <v>4769</v>
      </c>
    </row>
    <row r="77" ht="15.75" spans="1:6">
      <c r="A77" s="23">
        <v>68</v>
      </c>
      <c r="B77" s="23" t="s">
        <v>514</v>
      </c>
      <c r="C77" s="39">
        <v>3468</v>
      </c>
      <c r="D77" s="39">
        <v>3836</v>
      </c>
      <c r="E77" s="39">
        <v>4020</v>
      </c>
      <c r="F77" s="39">
        <v>4572</v>
      </c>
    </row>
    <row r="78" ht="15.75" spans="1:6">
      <c r="A78" s="23">
        <v>69</v>
      </c>
      <c r="B78" s="23" t="s">
        <v>515</v>
      </c>
      <c r="C78" s="39">
        <v>3202</v>
      </c>
      <c r="D78" s="39">
        <v>3550</v>
      </c>
      <c r="E78" s="39">
        <v>3724</v>
      </c>
      <c r="F78" s="39">
        <v>4246</v>
      </c>
    </row>
    <row r="79" ht="15.75" spans="1:6">
      <c r="A79" s="23">
        <v>70</v>
      </c>
      <c r="B79" s="23" t="s">
        <v>516</v>
      </c>
      <c r="C79" s="39">
        <v>5403</v>
      </c>
      <c r="D79" s="39">
        <v>5845</v>
      </c>
      <c r="E79" s="39">
        <v>6066</v>
      </c>
      <c r="F79" s="39">
        <v>6729</v>
      </c>
    </row>
    <row r="80" ht="15.75" spans="1:6">
      <c r="A80" s="23">
        <v>71</v>
      </c>
      <c r="B80" s="23" t="s">
        <v>517</v>
      </c>
      <c r="C80" s="39">
        <v>3448</v>
      </c>
      <c r="D80" s="39">
        <v>3842</v>
      </c>
      <c r="E80" s="39">
        <v>4039</v>
      </c>
      <c r="F80" s="39">
        <v>4630</v>
      </c>
    </row>
    <row r="81" ht="15.75" spans="1:6">
      <c r="A81" s="23">
        <v>72</v>
      </c>
      <c r="B81" s="23" t="s">
        <v>518</v>
      </c>
      <c r="C81" s="39">
        <v>5096</v>
      </c>
      <c r="D81" s="39">
        <v>5542</v>
      </c>
      <c r="E81" s="39">
        <v>5765</v>
      </c>
      <c r="F81" s="39">
        <v>6434</v>
      </c>
    </row>
    <row r="82" ht="15.75" spans="1:6">
      <c r="A82" s="23">
        <v>73</v>
      </c>
      <c r="B82" s="23" t="s">
        <v>519</v>
      </c>
      <c r="C82" s="39">
        <v>4262</v>
      </c>
      <c r="D82" s="39">
        <v>4706</v>
      </c>
      <c r="E82" s="39">
        <v>4928</v>
      </c>
      <c r="F82" s="39">
        <v>5594</v>
      </c>
    </row>
    <row r="83" ht="15.75" spans="1:6">
      <c r="A83" s="23">
        <v>74</v>
      </c>
      <c r="B83" s="23" t="s">
        <v>520</v>
      </c>
      <c r="C83" s="39">
        <v>4895</v>
      </c>
      <c r="D83" s="39">
        <v>5341</v>
      </c>
      <c r="E83" s="39">
        <v>5564</v>
      </c>
      <c r="F83" s="39">
        <v>6233</v>
      </c>
    </row>
    <row r="84" ht="15.75" spans="1:6">
      <c r="A84" s="23">
        <v>75</v>
      </c>
      <c r="B84" s="23" t="s">
        <v>521</v>
      </c>
      <c r="C84" s="39">
        <v>6003</v>
      </c>
      <c r="D84" s="39">
        <v>6417</v>
      </c>
      <c r="E84" s="39">
        <v>6624</v>
      </c>
      <c r="F84" s="39">
        <v>7245</v>
      </c>
    </row>
    <row r="85" ht="15.75" spans="1:6">
      <c r="A85" s="23">
        <v>76</v>
      </c>
      <c r="B85" s="23" t="s">
        <v>522</v>
      </c>
      <c r="C85" s="39">
        <v>3805</v>
      </c>
      <c r="D85" s="39">
        <v>4229</v>
      </c>
      <c r="E85" s="39">
        <v>4441</v>
      </c>
      <c r="F85" s="39">
        <v>5077</v>
      </c>
    </row>
    <row r="86" ht="15.75" spans="1:6">
      <c r="A86" s="23">
        <v>77</v>
      </c>
      <c r="B86" s="23" t="s">
        <v>523</v>
      </c>
      <c r="C86" s="39">
        <v>3115</v>
      </c>
      <c r="D86" s="39">
        <v>3463</v>
      </c>
      <c r="E86" s="39">
        <v>3637</v>
      </c>
      <c r="F86" s="39">
        <v>4159</v>
      </c>
    </row>
    <row r="87" ht="15.75" spans="1:6">
      <c r="A87" s="23">
        <v>78</v>
      </c>
      <c r="B87" s="23" t="s">
        <v>524</v>
      </c>
      <c r="C87" s="39">
        <v>3370</v>
      </c>
      <c r="D87" s="39">
        <v>3770</v>
      </c>
      <c r="E87" s="39">
        <v>3970</v>
      </c>
      <c r="F87" s="39">
        <v>4570</v>
      </c>
    </row>
    <row r="88" ht="15.75" spans="1:6">
      <c r="A88" s="23">
        <v>79</v>
      </c>
      <c r="B88" s="23" t="s">
        <v>525</v>
      </c>
      <c r="C88" s="39">
        <v>5366</v>
      </c>
      <c r="D88" s="39">
        <v>5762</v>
      </c>
      <c r="E88" s="39">
        <v>5960</v>
      </c>
      <c r="F88" s="39">
        <v>6554</v>
      </c>
    </row>
    <row r="89" ht="15.75" spans="1:6">
      <c r="A89" s="23">
        <v>83</v>
      </c>
      <c r="B89" s="23" t="s">
        <v>526</v>
      </c>
      <c r="C89" s="39">
        <v>6398</v>
      </c>
      <c r="D89" s="39">
        <v>6914</v>
      </c>
      <c r="E89" s="39">
        <v>7172</v>
      </c>
      <c r="F89" s="39">
        <v>7946</v>
      </c>
    </row>
    <row r="90" ht="15.75" spans="1:6">
      <c r="A90" s="23">
        <v>86</v>
      </c>
      <c r="B90" s="23" t="s">
        <v>527</v>
      </c>
      <c r="C90" s="39">
        <v>6175</v>
      </c>
      <c r="D90" s="39">
        <v>6673</v>
      </c>
      <c r="E90" s="39">
        <v>6922</v>
      </c>
      <c r="F90" s="39">
        <v>7669</v>
      </c>
    </row>
    <row r="91" ht="15.75" spans="1:6">
      <c r="A91" s="23">
        <v>87</v>
      </c>
      <c r="B91" s="23" t="s">
        <v>528</v>
      </c>
      <c r="C91" s="39">
        <v>7290</v>
      </c>
      <c r="D91" s="39">
        <v>7834</v>
      </c>
      <c r="E91" s="39">
        <v>8106</v>
      </c>
      <c r="F91" s="39">
        <v>8922</v>
      </c>
    </row>
    <row r="92" ht="15.75" spans="1:6">
      <c r="A92" s="23">
        <v>89</v>
      </c>
      <c r="B92" s="23" t="s">
        <v>529</v>
      </c>
      <c r="C92" s="39">
        <v>7782</v>
      </c>
      <c r="D92" s="39">
        <v>8350</v>
      </c>
      <c r="E92" s="39">
        <v>8634</v>
      </c>
      <c r="F92" s="39">
        <v>9486</v>
      </c>
    </row>
    <row r="93" ht="15.75" spans="1:6">
      <c r="A93" s="23">
        <v>91</v>
      </c>
      <c r="B93" s="23" t="s">
        <v>530</v>
      </c>
      <c r="C93" s="39">
        <v>1503</v>
      </c>
      <c r="D93" s="39">
        <v>1769</v>
      </c>
      <c r="E93" s="39">
        <v>1902</v>
      </c>
      <c r="F93" s="39">
        <v>2301</v>
      </c>
    </row>
    <row r="94" ht="15.75" spans="1:6">
      <c r="A94" s="23">
        <v>92</v>
      </c>
      <c r="B94" s="23" t="s">
        <v>531</v>
      </c>
      <c r="C94" s="39">
        <v>1503</v>
      </c>
      <c r="D94" s="39">
        <v>1769</v>
      </c>
      <c r="E94" s="39">
        <v>1902</v>
      </c>
      <c r="F94" s="39">
        <v>2301</v>
      </c>
    </row>
  </sheetData>
  <mergeCells count="4">
    <mergeCell ref="C4:F4"/>
    <mergeCell ref="A4:A5"/>
    <mergeCell ref="A19:A21"/>
    <mergeCell ref="A31:A33"/>
  </mergeCells>
  <pageMargins left="0.75" right="0.75" top="1" bottom="1" header="0.5" footer="0.5"/>
  <pageSetup paperSize="9" orientation="portrait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94"/>
  <sheetViews>
    <sheetView workbookViewId="0">
      <selection activeCell="A2" sqref="A2"/>
    </sheetView>
  </sheetViews>
  <sheetFormatPr defaultColWidth="9.18095238095238" defaultRowHeight="12.75"/>
  <cols>
    <col min="1" max="1" width="24.2666666666667" style="61" customWidth="1"/>
    <col min="2" max="2" width="44.4571428571429" style="61" customWidth="1"/>
    <col min="3" max="3" width="11" style="61" customWidth="1"/>
    <col min="4" max="4" width="10.4571428571429" style="61" customWidth="1"/>
    <col min="5" max="5" width="28.2666666666667" style="61" customWidth="1"/>
    <col min="6" max="6" width="10.4571428571429" style="61" customWidth="1"/>
    <col min="7" max="7" width="26.4571428571429" style="61" customWidth="1"/>
    <col min="8" max="8" width="7.18095238095238" style="61" customWidth="1"/>
    <col min="9" max="9" width="12" style="61" customWidth="1"/>
    <col min="10" max="10" width="12.4571428571429" style="61" customWidth="1"/>
    <col min="11" max="11" width="36.1809523809524" style="61" customWidth="1"/>
    <col min="12" max="12" width="18.7238095238095" style="61" customWidth="1"/>
    <col min="13" max="13" width="32.4571428571429" style="61" customWidth="1"/>
    <col min="14" max="15" width="12" style="61" customWidth="1"/>
    <col min="16" max="16" width="10.2666666666667" style="61" customWidth="1"/>
    <col min="17" max="17" width="12.7238095238095" style="61" customWidth="1"/>
    <col min="18" max="18" width="10.4571428571429" style="61" customWidth="1"/>
    <col min="19" max="19" width="11.4571428571429" style="61" customWidth="1"/>
    <col min="20" max="20" width="18.4571428571429" style="61" customWidth="1"/>
    <col min="21" max="21" width="10.2666666666667" style="61" customWidth="1"/>
    <col min="22" max="22" width="8.45714285714286" style="61" customWidth="1"/>
    <col min="23" max="23" width="3.45714285714286" style="61" customWidth="1"/>
    <col min="24" max="24" width="9.45714285714286" style="61" customWidth="1"/>
    <col min="25" max="16384" width="9.18095238095238" style="61"/>
  </cols>
  <sheetData>
    <row r="1" s="60" customFormat="1" ht="15" spans="1:23">
      <c r="A1" s="41" t="s">
        <v>532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62"/>
      <c r="P1" s="62"/>
      <c r="Q1" s="62"/>
      <c r="R1" s="62"/>
      <c r="S1" s="62"/>
      <c r="T1" s="62"/>
      <c r="U1" s="62"/>
      <c r="V1" s="62"/>
      <c r="W1" s="62"/>
    </row>
    <row r="2" ht="15" spans="1:23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</row>
    <row r="3" ht="15" spans="1:23">
      <c r="A3" s="43"/>
      <c r="B3" s="43">
        <f>VLOOKUP('1.Общие данные по зданию'!C7,Климатология2020!B6:F94,IF('1.Общие данные по зданию'!C17=18,2,IF('1.Общие данные по зданию'!C17=20,3,IF('1.Общие данные по зданию'!C17=21,4,5))),0)</f>
        <v>1904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</row>
    <row r="4" ht="31.5" customHeight="1" spans="1:23">
      <c r="A4" s="44"/>
      <c r="B4" s="44"/>
      <c r="C4" s="45" t="s">
        <v>439</v>
      </c>
      <c r="D4" s="45"/>
      <c r="E4" s="45"/>
      <c r="F4" s="45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</row>
    <row r="5" ht="18" spans="1:23">
      <c r="A5" s="44"/>
      <c r="B5" s="44" t="s">
        <v>42</v>
      </c>
      <c r="C5" s="39" t="s">
        <v>440</v>
      </c>
      <c r="D5" s="39" t="s">
        <v>441</v>
      </c>
      <c r="E5" s="39" t="s">
        <v>442</v>
      </c>
      <c r="F5" s="39" t="s">
        <v>443</v>
      </c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</row>
    <row r="6" ht="15.75" spans="1:13">
      <c r="A6" s="23">
        <v>1</v>
      </c>
      <c r="B6" s="23" t="s">
        <v>444</v>
      </c>
      <c r="C6" s="39">
        <v>1732</v>
      </c>
      <c r="D6" s="39">
        <v>1962</v>
      </c>
      <c r="E6" s="39">
        <v>2077</v>
      </c>
      <c r="F6" s="39">
        <v>2422</v>
      </c>
      <c r="J6" s="63"/>
      <c r="K6" s="63"/>
      <c r="L6" s="63"/>
      <c r="M6" s="63"/>
    </row>
    <row r="7" ht="15.75" spans="1:13">
      <c r="A7" s="23">
        <v>2</v>
      </c>
      <c r="B7" s="23" t="s">
        <v>445</v>
      </c>
      <c r="C7" s="39">
        <v>3995</v>
      </c>
      <c r="D7" s="39">
        <v>4373</v>
      </c>
      <c r="E7" s="39">
        <v>4562</v>
      </c>
      <c r="F7" s="39">
        <v>5129</v>
      </c>
      <c r="J7" s="63"/>
      <c r="K7" s="63"/>
      <c r="L7" s="63"/>
      <c r="M7" s="63"/>
    </row>
    <row r="8" ht="15.75" spans="1:13">
      <c r="A8" s="23">
        <v>3</v>
      </c>
      <c r="B8" s="23" t="s">
        <v>446</v>
      </c>
      <c r="C8" s="39">
        <v>5699</v>
      </c>
      <c r="D8" s="39">
        <v>6117</v>
      </c>
      <c r="E8" s="39">
        <v>6326</v>
      </c>
      <c r="F8" s="39">
        <v>6953</v>
      </c>
      <c r="J8" s="63"/>
      <c r="K8" s="63"/>
      <c r="L8" s="63"/>
      <c r="M8" s="63"/>
    </row>
    <row r="9" ht="15.75" spans="1:13">
      <c r="A9" s="23">
        <v>4</v>
      </c>
      <c r="B9" s="23" t="s">
        <v>447</v>
      </c>
      <c r="C9" s="39">
        <v>4581</v>
      </c>
      <c r="D9" s="39">
        <v>4991</v>
      </c>
      <c r="E9" s="39">
        <v>5196</v>
      </c>
      <c r="F9" s="39">
        <v>5811</v>
      </c>
      <c r="J9" s="63"/>
      <c r="K9" s="63"/>
      <c r="L9" s="63"/>
      <c r="M9" s="63"/>
    </row>
    <row r="10" ht="15.75" spans="1:13">
      <c r="A10" s="23">
        <v>5</v>
      </c>
      <c r="B10" s="23" t="s">
        <v>448</v>
      </c>
      <c r="C10" s="39">
        <v>1681</v>
      </c>
      <c r="D10" s="39">
        <v>1943</v>
      </c>
      <c r="E10" s="39">
        <v>2074</v>
      </c>
      <c r="F10" s="39">
        <v>2467</v>
      </c>
      <c r="J10" s="63"/>
      <c r="K10" s="63"/>
      <c r="L10" s="63"/>
      <c r="M10" s="63"/>
    </row>
    <row r="11" ht="15.75" spans="1:13">
      <c r="A11" s="23">
        <v>6</v>
      </c>
      <c r="B11" s="23" t="s">
        <v>449</v>
      </c>
      <c r="C11" s="39">
        <v>2663</v>
      </c>
      <c r="D11" s="39">
        <v>3005</v>
      </c>
      <c r="E11" s="39">
        <v>3176</v>
      </c>
      <c r="F11" s="39">
        <v>3689</v>
      </c>
      <c r="K11" s="63"/>
      <c r="L11" s="63"/>
      <c r="M11" s="63"/>
    </row>
    <row r="12" ht="15.75" spans="1:13">
      <c r="A12" s="23">
        <v>7</v>
      </c>
      <c r="B12" s="23" t="s">
        <v>450</v>
      </c>
      <c r="C12" s="39">
        <v>2451</v>
      </c>
      <c r="D12" s="39">
        <v>2781</v>
      </c>
      <c r="E12" s="39">
        <v>2946</v>
      </c>
      <c r="F12" s="39">
        <v>3441</v>
      </c>
      <c r="J12" s="63"/>
      <c r="K12" s="63"/>
      <c r="L12" s="63"/>
      <c r="M12" s="63"/>
    </row>
    <row r="13" ht="15.75" spans="1:13">
      <c r="A13" s="23">
        <v>8</v>
      </c>
      <c r="B13" s="23" t="s">
        <v>451</v>
      </c>
      <c r="C13" s="39">
        <v>2795</v>
      </c>
      <c r="D13" s="39">
        <v>3135</v>
      </c>
      <c r="E13" s="39">
        <v>3305</v>
      </c>
      <c r="F13" s="39">
        <v>3815</v>
      </c>
      <c r="J13" s="63"/>
      <c r="K13" s="63"/>
      <c r="L13" s="63"/>
      <c r="M13" s="63"/>
    </row>
    <row r="14" ht="15.75" spans="1:13">
      <c r="A14" s="23">
        <v>9</v>
      </c>
      <c r="B14" s="23" t="s">
        <v>452</v>
      </c>
      <c r="C14" s="39">
        <v>2060</v>
      </c>
      <c r="D14" s="39">
        <v>2304</v>
      </c>
      <c r="E14" s="39">
        <v>2426</v>
      </c>
      <c r="F14" s="39">
        <v>2792</v>
      </c>
      <c r="J14" s="63"/>
      <c r="K14" s="63"/>
      <c r="L14" s="63"/>
      <c r="M14" s="63"/>
    </row>
    <row r="15" ht="15.75" spans="1:13">
      <c r="A15" s="23">
        <v>10</v>
      </c>
      <c r="B15" s="23" t="s">
        <v>453</v>
      </c>
      <c r="C15" s="39">
        <v>3966</v>
      </c>
      <c r="D15" s="39">
        <v>4414</v>
      </c>
      <c r="E15" s="39">
        <v>4638</v>
      </c>
      <c r="F15" s="39">
        <v>5310</v>
      </c>
      <c r="J15" s="63"/>
      <c r="K15" s="63"/>
      <c r="L15" s="63"/>
      <c r="M15" s="63"/>
    </row>
    <row r="16" ht="15.75" spans="1:13">
      <c r="A16" s="23">
        <v>11</v>
      </c>
      <c r="B16" s="23" t="s">
        <v>454</v>
      </c>
      <c r="C16" s="39">
        <v>4737</v>
      </c>
      <c r="D16" s="39">
        <v>5197</v>
      </c>
      <c r="E16" s="39">
        <v>5427</v>
      </c>
      <c r="F16" s="39">
        <v>6117</v>
      </c>
      <c r="J16" s="63"/>
      <c r="K16" s="63"/>
      <c r="L16" s="63"/>
      <c r="M16" s="63"/>
    </row>
    <row r="17" ht="15.75" spans="1:13">
      <c r="A17" s="23">
        <v>12</v>
      </c>
      <c r="B17" s="23" t="s">
        <v>455</v>
      </c>
      <c r="C17" s="39">
        <v>3893</v>
      </c>
      <c r="D17" s="39">
        <v>4291</v>
      </c>
      <c r="E17" s="39">
        <v>4490</v>
      </c>
      <c r="F17" s="39">
        <v>5087</v>
      </c>
      <c r="J17" s="63"/>
      <c r="K17" s="63"/>
      <c r="L17" s="63"/>
      <c r="M17" s="63"/>
    </row>
    <row r="18" ht="15.75" spans="1:13">
      <c r="A18" s="23">
        <v>13</v>
      </c>
      <c r="B18" s="23" t="s">
        <v>456</v>
      </c>
      <c r="C18" s="39">
        <v>3777</v>
      </c>
      <c r="D18" s="39">
        <v>4167</v>
      </c>
      <c r="E18" s="39">
        <v>4362</v>
      </c>
      <c r="F18" s="39">
        <v>4947</v>
      </c>
      <c r="J18" s="63"/>
      <c r="K18" s="63"/>
      <c r="L18" s="63"/>
      <c r="M18" s="63"/>
    </row>
    <row r="19" ht="15.75" spans="1:13">
      <c r="A19" s="23">
        <v>14</v>
      </c>
      <c r="B19" s="23" t="s">
        <v>457</v>
      </c>
      <c r="C19" s="39">
        <v>8391</v>
      </c>
      <c r="D19" s="39">
        <v>8851</v>
      </c>
      <c r="E19" s="39">
        <v>9081</v>
      </c>
      <c r="F19" s="39">
        <v>9771</v>
      </c>
      <c r="J19" s="63"/>
      <c r="K19" s="63"/>
      <c r="L19" s="63"/>
      <c r="M19" s="63"/>
    </row>
    <row r="20" ht="15.75" spans="1:13">
      <c r="A20" s="23"/>
      <c r="B20" s="23" t="s">
        <v>458</v>
      </c>
      <c r="C20" s="39">
        <v>8878</v>
      </c>
      <c r="D20" s="39">
        <v>9362</v>
      </c>
      <c r="E20" s="39">
        <v>9604</v>
      </c>
      <c r="F20" s="39">
        <v>10330</v>
      </c>
      <c r="J20" s="63"/>
      <c r="K20" s="63"/>
      <c r="L20" s="63"/>
      <c r="M20" s="63"/>
    </row>
    <row r="21" ht="15.75" spans="1:13">
      <c r="A21" s="23"/>
      <c r="B21" s="23" t="s">
        <v>459</v>
      </c>
      <c r="C21" s="39">
        <v>9417</v>
      </c>
      <c r="D21" s="39">
        <v>10117</v>
      </c>
      <c r="E21" s="39">
        <v>10467</v>
      </c>
      <c r="F21" s="39">
        <v>11517</v>
      </c>
      <c r="J21" s="63"/>
      <c r="K21" s="63"/>
      <c r="L21" s="63"/>
      <c r="M21" s="63"/>
    </row>
    <row r="22" ht="15.75" spans="1:13">
      <c r="A22" s="23">
        <v>15</v>
      </c>
      <c r="B22" s="23" t="s">
        <v>460</v>
      </c>
      <c r="C22" s="39">
        <v>2050</v>
      </c>
      <c r="D22" s="39">
        <v>2292</v>
      </c>
      <c r="E22" s="39">
        <v>2413</v>
      </c>
      <c r="F22" s="39">
        <v>2776</v>
      </c>
      <c r="J22" s="63"/>
      <c r="K22" s="63"/>
      <c r="L22" s="63"/>
      <c r="M22" s="63"/>
    </row>
    <row r="23" ht="15.75" spans="1:13">
      <c r="A23" s="23">
        <v>16</v>
      </c>
      <c r="B23" s="23" t="s">
        <v>461</v>
      </c>
      <c r="C23" s="39">
        <v>3947</v>
      </c>
      <c r="D23" s="39">
        <v>4345</v>
      </c>
      <c r="E23" s="39">
        <v>4544</v>
      </c>
      <c r="F23" s="39">
        <v>5141</v>
      </c>
      <c r="J23" s="63"/>
      <c r="K23" s="63"/>
      <c r="L23" s="63"/>
      <c r="M23" s="63"/>
    </row>
    <row r="24" ht="15.75" spans="1:13">
      <c r="A24" s="23">
        <v>17</v>
      </c>
      <c r="B24" s="23" t="s">
        <v>462</v>
      </c>
      <c r="C24" s="39">
        <v>6073</v>
      </c>
      <c r="D24" s="39">
        <v>6475</v>
      </c>
      <c r="E24" s="39">
        <v>6676</v>
      </c>
      <c r="F24" s="39">
        <v>7279</v>
      </c>
      <c r="J24" s="63"/>
      <c r="K24" s="63"/>
      <c r="L24" s="63"/>
      <c r="M24" s="63"/>
    </row>
    <row r="25" ht="15.75" spans="1:13">
      <c r="A25" s="23">
        <v>18</v>
      </c>
      <c r="B25" s="23" t="s">
        <v>463</v>
      </c>
      <c r="C25" s="39">
        <v>4273</v>
      </c>
      <c r="D25" s="39">
        <v>4699</v>
      </c>
      <c r="E25" s="39">
        <v>4912</v>
      </c>
      <c r="F25" s="39">
        <v>5551</v>
      </c>
      <c r="J25" s="63"/>
      <c r="K25" s="63"/>
      <c r="L25" s="63"/>
      <c r="M25" s="63"/>
    </row>
    <row r="26" ht="15.75" spans="1:13">
      <c r="A26" s="23">
        <v>19</v>
      </c>
      <c r="B26" s="23" t="s">
        <v>464</v>
      </c>
      <c r="C26" s="39">
        <v>4819</v>
      </c>
      <c r="D26" s="39">
        <v>5235</v>
      </c>
      <c r="E26" s="39">
        <v>5443</v>
      </c>
      <c r="F26" s="39">
        <v>6067</v>
      </c>
      <c r="J26" s="63"/>
      <c r="K26" s="63"/>
      <c r="L26" s="63"/>
      <c r="M26" s="63"/>
    </row>
    <row r="27" ht="15.75" spans="1:13">
      <c r="A27" s="23">
        <v>20</v>
      </c>
      <c r="B27" s="23" t="s">
        <v>465</v>
      </c>
      <c r="C27" s="39">
        <v>1929</v>
      </c>
      <c r="D27" s="39">
        <v>2175</v>
      </c>
      <c r="E27" s="39">
        <v>2298</v>
      </c>
      <c r="F27" s="39">
        <v>2667</v>
      </c>
      <c r="J27" s="63"/>
      <c r="K27" s="63"/>
      <c r="L27" s="63"/>
      <c r="M27" s="63"/>
    </row>
    <row r="28" ht="15.75" spans="1:13">
      <c r="A28" s="23">
        <v>21</v>
      </c>
      <c r="B28" s="23" t="s">
        <v>466</v>
      </c>
      <c r="C28" s="39">
        <v>3916</v>
      </c>
      <c r="D28" s="39">
        <v>4314</v>
      </c>
      <c r="E28" s="39">
        <v>4513</v>
      </c>
      <c r="F28" s="39">
        <v>5110</v>
      </c>
      <c r="J28" s="63"/>
      <c r="K28" s="63"/>
      <c r="L28" s="63"/>
      <c r="M28" s="63"/>
    </row>
    <row r="29" ht="15.75" spans="1:13">
      <c r="A29" s="23">
        <v>22</v>
      </c>
      <c r="B29" s="23" t="s">
        <v>467</v>
      </c>
      <c r="C29" s="39">
        <v>4673</v>
      </c>
      <c r="D29" s="39">
        <v>5083</v>
      </c>
      <c r="E29" s="39">
        <v>5288</v>
      </c>
      <c r="F29" s="39">
        <v>5903</v>
      </c>
      <c r="J29" s="63"/>
      <c r="K29" s="63"/>
      <c r="L29" s="63"/>
      <c r="M29" s="63"/>
    </row>
    <row r="30" ht="15.75" spans="1:13">
      <c r="A30" s="23">
        <v>23</v>
      </c>
      <c r="B30" s="23" t="s">
        <v>116</v>
      </c>
      <c r="C30" s="39">
        <v>1678</v>
      </c>
      <c r="D30" s="39">
        <v>1904</v>
      </c>
      <c r="E30" s="39">
        <v>2017</v>
      </c>
      <c r="F30" s="39">
        <v>2356</v>
      </c>
      <c r="J30" s="63"/>
      <c r="K30" s="63"/>
      <c r="L30" s="63"/>
      <c r="M30" s="63"/>
    </row>
    <row r="31" ht="15.75" spans="1:13">
      <c r="A31" s="23">
        <v>24</v>
      </c>
      <c r="B31" s="23" t="s">
        <v>468</v>
      </c>
      <c r="C31" s="39">
        <v>4895</v>
      </c>
      <c r="D31" s="39">
        <v>5317</v>
      </c>
      <c r="E31" s="39">
        <v>5528</v>
      </c>
      <c r="F31" s="39">
        <v>6161</v>
      </c>
      <c r="J31" s="63"/>
      <c r="K31" s="63"/>
      <c r="L31" s="63"/>
      <c r="M31" s="63"/>
    </row>
    <row r="32" ht="15.75" spans="1:13">
      <c r="A32" s="23"/>
      <c r="B32" s="23" t="s">
        <v>469</v>
      </c>
      <c r="C32" s="39">
        <v>7437</v>
      </c>
      <c r="D32" s="39">
        <v>7905</v>
      </c>
      <c r="E32" s="39">
        <v>8139</v>
      </c>
      <c r="F32" s="39">
        <v>8841</v>
      </c>
      <c r="J32" s="63"/>
      <c r="K32" s="63"/>
      <c r="L32" s="63"/>
      <c r="M32" s="63"/>
    </row>
    <row r="33" ht="15.75" spans="1:13">
      <c r="A33" s="23"/>
      <c r="B33" s="23" t="s">
        <v>470</v>
      </c>
      <c r="C33" s="39">
        <v>7342</v>
      </c>
      <c r="D33" s="39">
        <v>7818</v>
      </c>
      <c r="E33" s="39">
        <v>8056</v>
      </c>
      <c r="F33" s="39">
        <v>8770</v>
      </c>
      <c r="J33" s="63"/>
      <c r="K33" s="63"/>
      <c r="L33" s="63"/>
      <c r="M33" s="63"/>
    </row>
    <row r="34" ht="15.75" spans="1:13">
      <c r="A34" s="23">
        <v>25</v>
      </c>
      <c r="B34" s="23" t="s">
        <v>471</v>
      </c>
      <c r="C34" s="39">
        <v>3711</v>
      </c>
      <c r="D34" s="39">
        <v>4057</v>
      </c>
      <c r="E34" s="39">
        <v>4230</v>
      </c>
      <c r="F34" s="39">
        <v>4749</v>
      </c>
      <c r="J34" s="63"/>
      <c r="K34" s="63"/>
      <c r="L34" s="63"/>
      <c r="M34" s="63"/>
    </row>
    <row r="35" ht="15.75" spans="1:13">
      <c r="A35" s="23">
        <v>26</v>
      </c>
      <c r="B35" s="23" t="s">
        <v>472</v>
      </c>
      <c r="C35" s="39">
        <v>2552</v>
      </c>
      <c r="D35" s="39">
        <v>2884</v>
      </c>
      <c r="E35" s="39">
        <v>3050</v>
      </c>
      <c r="F35" s="39">
        <v>3548</v>
      </c>
      <c r="J35" s="63"/>
      <c r="K35" s="63"/>
      <c r="L35" s="63"/>
      <c r="M35" s="63"/>
    </row>
    <row r="36" ht="15.75" spans="1:13">
      <c r="A36" s="23">
        <v>27</v>
      </c>
      <c r="B36" s="23" t="s">
        <v>473</v>
      </c>
      <c r="C36" s="39">
        <v>4724</v>
      </c>
      <c r="D36" s="39">
        <v>5096</v>
      </c>
      <c r="E36" s="39">
        <v>5282</v>
      </c>
      <c r="F36" s="39">
        <v>5840</v>
      </c>
      <c r="J36" s="63"/>
      <c r="K36" s="63"/>
      <c r="L36" s="63"/>
      <c r="M36" s="63"/>
    </row>
    <row r="37" ht="15.75" spans="1:13">
      <c r="A37" s="23">
        <v>28</v>
      </c>
      <c r="B37" s="23" t="s">
        <v>474</v>
      </c>
      <c r="C37" s="39">
        <v>5199</v>
      </c>
      <c r="D37" s="39">
        <v>5597</v>
      </c>
      <c r="E37" s="39">
        <v>5796</v>
      </c>
      <c r="F37" s="39">
        <v>6393</v>
      </c>
      <c r="J37" s="63"/>
      <c r="K37" s="63"/>
      <c r="L37" s="63"/>
      <c r="M37" s="63"/>
    </row>
    <row r="38" ht="15.75" spans="1:13">
      <c r="A38" s="23">
        <v>29</v>
      </c>
      <c r="B38" s="23" t="s">
        <v>475</v>
      </c>
      <c r="C38" s="39">
        <v>4743</v>
      </c>
      <c r="D38" s="39">
        <v>5245</v>
      </c>
      <c r="E38" s="39">
        <v>5496</v>
      </c>
      <c r="F38" s="39">
        <v>6249</v>
      </c>
      <c r="J38" s="63"/>
      <c r="K38" s="63"/>
      <c r="L38" s="63"/>
      <c r="M38" s="63"/>
    </row>
    <row r="39" ht="15.75" spans="1:13">
      <c r="A39" s="23">
        <v>30</v>
      </c>
      <c r="B39" s="23" t="s">
        <v>476</v>
      </c>
      <c r="C39" s="39">
        <v>2397</v>
      </c>
      <c r="D39" s="39">
        <v>2673</v>
      </c>
      <c r="E39" s="39">
        <v>2811</v>
      </c>
      <c r="F39" s="39">
        <v>3225</v>
      </c>
      <c r="J39" s="63"/>
      <c r="K39" s="63"/>
      <c r="L39" s="63"/>
      <c r="M39" s="63"/>
    </row>
    <row r="40" ht="15.75" spans="1:13">
      <c r="A40" s="23">
        <v>31</v>
      </c>
      <c r="B40" s="23" t="s">
        <v>477</v>
      </c>
      <c r="C40" s="39">
        <v>2900</v>
      </c>
      <c r="D40" s="39">
        <v>3248</v>
      </c>
      <c r="E40" s="39">
        <v>3422</v>
      </c>
      <c r="F40" s="39">
        <v>3944</v>
      </c>
      <c r="J40" s="63"/>
      <c r="K40" s="63"/>
      <c r="L40" s="63"/>
      <c r="M40" s="63"/>
    </row>
    <row r="41" ht="15.75" spans="1:13">
      <c r="A41" s="23">
        <v>32</v>
      </c>
      <c r="B41" s="23" t="s">
        <v>478</v>
      </c>
      <c r="C41" s="39">
        <v>3150</v>
      </c>
      <c r="D41" s="39">
        <v>3546</v>
      </c>
      <c r="E41" s="39">
        <v>3744</v>
      </c>
      <c r="F41" s="39">
        <v>4338</v>
      </c>
      <c r="J41" s="63"/>
      <c r="K41" s="63"/>
      <c r="L41" s="63"/>
      <c r="M41" s="63"/>
    </row>
    <row r="42" ht="15.75" spans="1:13">
      <c r="A42" s="23">
        <v>33</v>
      </c>
      <c r="B42" s="23" t="s">
        <v>479</v>
      </c>
      <c r="C42" s="39">
        <v>3575</v>
      </c>
      <c r="D42" s="39">
        <v>3973</v>
      </c>
      <c r="E42" s="39">
        <v>4172</v>
      </c>
      <c r="F42" s="39">
        <v>4769</v>
      </c>
      <c r="J42" s="63"/>
      <c r="K42" s="63"/>
      <c r="L42" s="63"/>
      <c r="M42" s="63"/>
    </row>
    <row r="43" ht="15.75" spans="1:13">
      <c r="A43" s="23">
        <v>34</v>
      </c>
      <c r="B43" s="23" t="s">
        <v>480</v>
      </c>
      <c r="C43" s="39">
        <v>2705</v>
      </c>
      <c r="D43" s="39">
        <v>2993</v>
      </c>
      <c r="E43" s="39">
        <v>3137</v>
      </c>
      <c r="F43" s="39">
        <v>3569</v>
      </c>
      <c r="J43" s="63"/>
      <c r="K43" s="63"/>
      <c r="L43" s="63"/>
      <c r="M43" s="63"/>
    </row>
    <row r="44" ht="15.75" spans="1:13">
      <c r="A44" s="23">
        <v>35</v>
      </c>
      <c r="B44" s="23" t="s">
        <v>481</v>
      </c>
      <c r="C44" s="39">
        <v>3831</v>
      </c>
      <c r="D44" s="39">
        <v>4233</v>
      </c>
      <c r="E44" s="39">
        <v>4434</v>
      </c>
      <c r="F44" s="39">
        <v>5037</v>
      </c>
      <c r="J44" s="63"/>
      <c r="K44" s="63"/>
      <c r="L44" s="63"/>
      <c r="M44" s="63"/>
    </row>
    <row r="45" ht="15.75" spans="1:13">
      <c r="A45" s="23">
        <v>36</v>
      </c>
      <c r="B45" s="23" t="s">
        <v>482</v>
      </c>
      <c r="C45" s="39">
        <v>2932</v>
      </c>
      <c r="D45" s="39">
        <v>3282</v>
      </c>
      <c r="E45" s="39">
        <v>3457</v>
      </c>
      <c r="F45" s="39">
        <v>3982</v>
      </c>
      <c r="J45" s="63"/>
      <c r="K45" s="63"/>
      <c r="L45" s="63"/>
      <c r="M45" s="63"/>
    </row>
    <row r="46" ht="15.75" spans="1:13">
      <c r="A46" s="23">
        <v>37</v>
      </c>
      <c r="B46" s="23" t="s">
        <v>483</v>
      </c>
      <c r="C46" s="39">
        <v>3655</v>
      </c>
      <c r="D46" s="39">
        <v>4053</v>
      </c>
      <c r="E46" s="39">
        <v>4252</v>
      </c>
      <c r="F46" s="39">
        <v>4849</v>
      </c>
      <c r="J46" s="63"/>
      <c r="K46" s="63"/>
      <c r="L46" s="63"/>
      <c r="M46" s="63"/>
    </row>
    <row r="47" ht="15.75" spans="1:13">
      <c r="A47" s="23">
        <v>38</v>
      </c>
      <c r="B47" s="23" t="s">
        <v>484</v>
      </c>
      <c r="C47" s="39">
        <v>5129</v>
      </c>
      <c r="D47" s="39">
        <v>5549</v>
      </c>
      <c r="E47" s="39">
        <v>5759</v>
      </c>
      <c r="F47" s="39">
        <v>6389</v>
      </c>
      <c r="J47" s="63"/>
      <c r="K47" s="63"/>
      <c r="L47" s="63"/>
      <c r="M47" s="63"/>
    </row>
    <row r="48" ht="15.75" spans="1:13">
      <c r="A48" s="23">
        <v>39</v>
      </c>
      <c r="B48" s="23" t="s">
        <v>485</v>
      </c>
      <c r="C48" s="39">
        <v>2541</v>
      </c>
      <c r="D48" s="39">
        <v>2935</v>
      </c>
      <c r="E48" s="39">
        <v>3132</v>
      </c>
      <c r="F48" s="39">
        <v>3723</v>
      </c>
      <c r="J48" s="63"/>
      <c r="K48" s="63"/>
      <c r="L48" s="63"/>
      <c r="M48" s="63"/>
    </row>
    <row r="49" ht="15.75" spans="1:13">
      <c r="A49" s="23">
        <v>40</v>
      </c>
      <c r="B49" s="23" t="s">
        <v>486</v>
      </c>
      <c r="C49" s="39">
        <v>3283</v>
      </c>
      <c r="D49" s="39">
        <v>3679</v>
      </c>
      <c r="E49" s="39">
        <v>3877</v>
      </c>
      <c r="F49" s="39">
        <v>4471</v>
      </c>
      <c r="J49" s="63"/>
      <c r="K49" s="63"/>
      <c r="L49" s="63"/>
      <c r="M49" s="63"/>
    </row>
    <row r="50" ht="15.75" spans="1:13">
      <c r="A50" s="23">
        <v>41</v>
      </c>
      <c r="B50" s="23" t="s">
        <v>487</v>
      </c>
      <c r="C50" s="39">
        <v>4383</v>
      </c>
      <c r="D50" s="39">
        <v>4851</v>
      </c>
      <c r="E50" s="39">
        <v>5085</v>
      </c>
      <c r="F50" s="39">
        <v>5787</v>
      </c>
      <c r="J50" s="63"/>
      <c r="K50" s="63"/>
      <c r="L50" s="63"/>
      <c r="M50" s="63"/>
    </row>
    <row r="51" ht="15.75" spans="1:13">
      <c r="A51" s="23">
        <v>42</v>
      </c>
      <c r="B51" s="23" t="s">
        <v>488</v>
      </c>
      <c r="C51" s="39">
        <v>4840</v>
      </c>
      <c r="D51" s="39">
        <v>5256</v>
      </c>
      <c r="E51" s="39">
        <v>5464</v>
      </c>
      <c r="F51" s="39">
        <v>6088</v>
      </c>
      <c r="J51" s="63"/>
      <c r="K51" s="63"/>
      <c r="L51" s="63"/>
      <c r="M51" s="63"/>
    </row>
    <row r="52" ht="15.75" spans="1:13">
      <c r="A52" s="23">
        <v>43</v>
      </c>
      <c r="B52" s="23" t="s">
        <v>489</v>
      </c>
      <c r="C52" s="39">
        <v>4167</v>
      </c>
      <c r="D52" s="39">
        <v>4569</v>
      </c>
      <c r="E52" s="39">
        <v>4770</v>
      </c>
      <c r="F52" s="39">
        <v>5373</v>
      </c>
      <c r="J52" s="63"/>
      <c r="K52" s="63"/>
      <c r="L52" s="63"/>
      <c r="M52" s="63"/>
    </row>
    <row r="53" ht="15.75" spans="1:13">
      <c r="A53" s="23">
        <v>44</v>
      </c>
      <c r="B53" s="23" t="s">
        <v>490</v>
      </c>
      <c r="C53" s="39">
        <v>3650</v>
      </c>
      <c r="D53" s="39">
        <v>4050</v>
      </c>
      <c r="E53" s="39">
        <v>4250</v>
      </c>
      <c r="F53" s="39">
        <v>4850</v>
      </c>
      <c r="J53" s="63"/>
      <c r="K53" s="63"/>
      <c r="L53" s="63"/>
      <c r="M53" s="63"/>
    </row>
    <row r="54" ht="15.75" spans="1:13">
      <c r="A54" s="23">
        <v>45</v>
      </c>
      <c r="B54" s="23" t="s">
        <v>491</v>
      </c>
      <c r="C54" s="39">
        <v>4326</v>
      </c>
      <c r="D54" s="39">
        <v>4716</v>
      </c>
      <c r="E54" s="39">
        <v>4911</v>
      </c>
      <c r="F54" s="39">
        <v>5496</v>
      </c>
      <c r="J54" s="63"/>
      <c r="K54" s="63"/>
      <c r="L54" s="63"/>
      <c r="M54" s="63"/>
    </row>
    <row r="55" ht="15.75" spans="1:13">
      <c r="A55" s="23">
        <v>46</v>
      </c>
      <c r="B55" s="23" t="s">
        <v>492</v>
      </c>
      <c r="C55" s="39">
        <v>3043</v>
      </c>
      <c r="D55" s="39">
        <v>3409</v>
      </c>
      <c r="E55" s="39">
        <v>3592</v>
      </c>
      <c r="F55" s="39">
        <v>4141</v>
      </c>
      <c r="J55" s="63"/>
      <c r="K55" s="63"/>
      <c r="L55" s="63"/>
      <c r="M55" s="63"/>
    </row>
    <row r="56" ht="15.75" spans="1:13">
      <c r="A56" s="23">
        <v>47</v>
      </c>
      <c r="B56" s="23" t="s">
        <v>493</v>
      </c>
      <c r="C56" s="39">
        <v>3106</v>
      </c>
      <c r="D56" s="39">
        <v>3506</v>
      </c>
      <c r="E56" s="39">
        <v>3706</v>
      </c>
      <c r="F56" s="39">
        <v>4306</v>
      </c>
      <c r="J56" s="63"/>
      <c r="K56" s="63"/>
      <c r="L56" s="63"/>
      <c r="M56" s="63"/>
    </row>
    <row r="57" ht="15.75" spans="1:13">
      <c r="A57" s="23">
        <v>48</v>
      </c>
      <c r="B57" s="23" t="s">
        <v>494</v>
      </c>
      <c r="C57" s="39">
        <v>3268</v>
      </c>
      <c r="D57" s="39">
        <v>3644</v>
      </c>
      <c r="E57" s="39">
        <v>3832</v>
      </c>
      <c r="F57" s="39">
        <v>4396</v>
      </c>
      <c r="J57" s="63"/>
      <c r="K57" s="63"/>
      <c r="L57" s="63"/>
      <c r="M57" s="63"/>
    </row>
    <row r="58" ht="15.75" spans="1:13">
      <c r="A58" s="23">
        <v>49</v>
      </c>
      <c r="B58" s="23" t="s">
        <v>495</v>
      </c>
      <c r="C58" s="39">
        <v>6468</v>
      </c>
      <c r="D58" s="39">
        <v>6974</v>
      </c>
      <c r="E58" s="39">
        <v>7227</v>
      </c>
      <c r="F58" s="39">
        <v>7986</v>
      </c>
      <c r="J58" s="63"/>
      <c r="K58" s="63"/>
      <c r="L58" s="63"/>
      <c r="M58" s="63"/>
    </row>
    <row r="59" ht="15.75" spans="1:13">
      <c r="A59" s="23">
        <v>50</v>
      </c>
      <c r="B59" s="23" t="s">
        <v>496</v>
      </c>
      <c r="C59" s="39">
        <v>3302</v>
      </c>
      <c r="D59" s="39">
        <v>3700</v>
      </c>
      <c r="E59" s="39">
        <v>3899</v>
      </c>
      <c r="F59" s="39">
        <v>4496</v>
      </c>
      <c r="J59" s="63"/>
      <c r="K59" s="63"/>
      <c r="L59" s="63"/>
      <c r="M59" s="63"/>
    </row>
    <row r="60" ht="15.75" spans="1:13">
      <c r="A60" s="23">
        <v>51</v>
      </c>
      <c r="B60" s="23" t="s">
        <v>497</v>
      </c>
      <c r="C60" s="39">
        <v>4966</v>
      </c>
      <c r="D60" s="39">
        <v>5468</v>
      </c>
      <c r="E60" s="39">
        <v>5719</v>
      </c>
      <c r="F60" s="39">
        <v>6472</v>
      </c>
      <c r="J60" s="63"/>
      <c r="K60" s="63"/>
      <c r="L60" s="63"/>
      <c r="M60" s="63"/>
    </row>
    <row r="61" ht="15.75" spans="1:13">
      <c r="A61" s="23">
        <v>52</v>
      </c>
      <c r="B61" s="23" t="s">
        <v>498</v>
      </c>
      <c r="C61" s="39">
        <v>3686</v>
      </c>
      <c r="D61" s="39">
        <v>4086</v>
      </c>
      <c r="E61" s="39">
        <v>4286</v>
      </c>
      <c r="F61" s="39">
        <v>4886</v>
      </c>
      <c r="J61" s="63"/>
      <c r="K61" s="63"/>
      <c r="L61" s="63"/>
      <c r="M61" s="63"/>
    </row>
    <row r="62" ht="15.75" spans="1:13">
      <c r="A62" s="23">
        <v>53</v>
      </c>
      <c r="B62" s="23" t="s">
        <v>499</v>
      </c>
      <c r="C62" s="39">
        <v>3214</v>
      </c>
      <c r="D62" s="39">
        <v>3616</v>
      </c>
      <c r="E62" s="39">
        <v>3817</v>
      </c>
      <c r="F62" s="39">
        <v>4420</v>
      </c>
      <c r="J62" s="63"/>
      <c r="K62" s="63"/>
      <c r="L62" s="63"/>
      <c r="M62" s="63"/>
    </row>
    <row r="63" ht="15.75" spans="1:13">
      <c r="A63" s="23">
        <v>54</v>
      </c>
      <c r="B63" s="23" t="s">
        <v>500</v>
      </c>
      <c r="C63" s="39">
        <v>4577</v>
      </c>
      <c r="D63" s="39">
        <v>4983</v>
      </c>
      <c r="E63" s="39">
        <v>5186</v>
      </c>
      <c r="F63" s="39">
        <v>5795</v>
      </c>
      <c r="J63" s="63"/>
      <c r="K63" s="63"/>
      <c r="L63" s="63"/>
      <c r="M63" s="63"/>
    </row>
    <row r="64" ht="15.75" spans="1:13">
      <c r="A64" s="23">
        <v>55</v>
      </c>
      <c r="B64" s="23" t="s">
        <v>501</v>
      </c>
      <c r="C64" s="39">
        <v>4430</v>
      </c>
      <c r="D64" s="39">
        <v>4820</v>
      </c>
      <c r="E64" s="39">
        <v>5015</v>
      </c>
      <c r="F64" s="39">
        <v>5600</v>
      </c>
      <c r="J64" s="63"/>
      <c r="K64" s="63"/>
      <c r="L64" s="63"/>
      <c r="M64" s="63"/>
    </row>
    <row r="65" ht="15.75" spans="1:13">
      <c r="A65" s="23">
        <v>56</v>
      </c>
      <c r="B65" s="23" t="s">
        <v>502</v>
      </c>
      <c r="C65" s="39">
        <v>4105</v>
      </c>
      <c r="D65" s="39">
        <v>4505</v>
      </c>
      <c r="E65" s="39">
        <v>4705</v>
      </c>
      <c r="F65" s="39">
        <v>5305</v>
      </c>
      <c r="J65" s="63"/>
      <c r="K65" s="63"/>
      <c r="L65" s="63"/>
      <c r="M65" s="63"/>
    </row>
    <row r="66" ht="15.75" spans="1:13">
      <c r="A66" s="23">
        <v>57</v>
      </c>
      <c r="B66" s="23" t="s">
        <v>503</v>
      </c>
      <c r="C66" s="39">
        <v>3185</v>
      </c>
      <c r="D66" s="39">
        <v>3581</v>
      </c>
      <c r="E66" s="39">
        <v>3779</v>
      </c>
      <c r="F66" s="39">
        <v>4373</v>
      </c>
      <c r="J66" s="63"/>
      <c r="K66" s="63"/>
      <c r="L66" s="63"/>
      <c r="M66" s="63"/>
    </row>
    <row r="67" ht="15.75" spans="1:13">
      <c r="A67" s="23">
        <v>58</v>
      </c>
      <c r="B67" s="23" t="s">
        <v>504</v>
      </c>
      <c r="C67" s="39">
        <v>3618</v>
      </c>
      <c r="D67" s="39">
        <v>4004</v>
      </c>
      <c r="E67" s="39">
        <v>4197</v>
      </c>
      <c r="F67" s="39">
        <v>4776</v>
      </c>
      <c r="J67" s="63"/>
      <c r="K67" s="63"/>
      <c r="L67" s="63"/>
      <c r="M67" s="63"/>
    </row>
    <row r="68" ht="15.75" spans="1:13">
      <c r="A68" s="23">
        <v>59</v>
      </c>
      <c r="B68" s="23" t="s">
        <v>505</v>
      </c>
      <c r="C68" s="39">
        <v>4501</v>
      </c>
      <c r="D68" s="39">
        <v>4955</v>
      </c>
      <c r="E68" s="39">
        <v>5182</v>
      </c>
      <c r="F68" s="39">
        <v>5863</v>
      </c>
      <c r="J68" s="63"/>
      <c r="K68" s="63"/>
      <c r="L68" s="63"/>
      <c r="M68" s="63"/>
    </row>
    <row r="69" ht="15.75" spans="1:13">
      <c r="A69" s="23">
        <v>60</v>
      </c>
      <c r="B69" s="23" t="s">
        <v>506</v>
      </c>
      <c r="C69" s="39">
        <v>3060</v>
      </c>
      <c r="D69" s="39">
        <v>3464</v>
      </c>
      <c r="E69" s="39">
        <v>3666</v>
      </c>
      <c r="F69" s="39">
        <v>4272</v>
      </c>
      <c r="J69" s="63"/>
      <c r="K69" s="63"/>
      <c r="L69" s="63"/>
      <c r="M69" s="63"/>
    </row>
    <row r="70" ht="15.75" spans="1:13">
      <c r="A70" s="23">
        <v>61</v>
      </c>
      <c r="B70" s="23" t="s">
        <v>507</v>
      </c>
      <c r="C70" s="39">
        <v>2020</v>
      </c>
      <c r="D70" s="39">
        <v>2250</v>
      </c>
      <c r="E70" s="39">
        <v>2365</v>
      </c>
      <c r="F70" s="39">
        <v>2710</v>
      </c>
      <c r="J70" s="63"/>
      <c r="K70" s="63"/>
      <c r="L70" s="63"/>
      <c r="M70" s="63"/>
    </row>
    <row r="71" ht="15.75" spans="1:13">
      <c r="A71" s="23">
        <v>62</v>
      </c>
      <c r="B71" s="23" t="s">
        <v>508</v>
      </c>
      <c r="C71" s="39">
        <v>3382</v>
      </c>
      <c r="D71" s="39">
        <v>3778</v>
      </c>
      <c r="E71" s="39">
        <v>3976</v>
      </c>
      <c r="F71" s="39">
        <v>4570</v>
      </c>
      <c r="J71" s="63"/>
      <c r="K71" s="63"/>
      <c r="L71" s="63"/>
      <c r="M71" s="63"/>
    </row>
    <row r="72" ht="15.75" spans="1:13">
      <c r="A72" s="23">
        <v>63</v>
      </c>
      <c r="B72" s="23" t="s">
        <v>509</v>
      </c>
      <c r="C72" s="39">
        <v>3602</v>
      </c>
      <c r="D72" s="39">
        <v>3966</v>
      </c>
      <c r="E72" s="39">
        <v>4148</v>
      </c>
      <c r="F72" s="39">
        <v>4694</v>
      </c>
      <c r="J72" s="63"/>
      <c r="K72" s="63"/>
      <c r="L72" s="63"/>
      <c r="M72" s="63"/>
    </row>
    <row r="73" ht="15.75" spans="1:13">
      <c r="A73" s="23">
        <v>64</v>
      </c>
      <c r="B73" s="23" t="s">
        <v>510</v>
      </c>
      <c r="C73" s="39">
        <v>3333</v>
      </c>
      <c r="D73" s="39">
        <v>3695</v>
      </c>
      <c r="E73" s="39">
        <v>3876</v>
      </c>
      <c r="F73" s="39">
        <v>4419</v>
      </c>
      <c r="J73" s="63"/>
      <c r="K73" s="63"/>
      <c r="L73" s="63"/>
      <c r="M73" s="63"/>
    </row>
    <row r="74" ht="15.75" spans="1:13">
      <c r="A74" s="23">
        <v>65</v>
      </c>
      <c r="B74" s="23" t="s">
        <v>511</v>
      </c>
      <c r="C74" s="39">
        <v>4668</v>
      </c>
      <c r="D74" s="39">
        <v>5106</v>
      </c>
      <c r="E74" s="39">
        <v>5325</v>
      </c>
      <c r="F74" s="39">
        <v>5982</v>
      </c>
      <c r="J74" s="63"/>
      <c r="K74" s="63"/>
      <c r="L74" s="63"/>
      <c r="M74" s="63"/>
    </row>
    <row r="75" ht="15.75" spans="1:13">
      <c r="A75" s="23">
        <v>66</v>
      </c>
      <c r="B75" s="23" t="s">
        <v>512</v>
      </c>
      <c r="C75" s="39">
        <v>4412</v>
      </c>
      <c r="D75" s="39">
        <v>4864</v>
      </c>
      <c r="E75" s="39">
        <v>5090</v>
      </c>
      <c r="F75" s="39">
        <v>5768</v>
      </c>
      <c r="J75" s="63"/>
      <c r="K75" s="63"/>
      <c r="L75" s="63"/>
      <c r="M75" s="63"/>
    </row>
    <row r="76" ht="15.75" spans="1:13">
      <c r="A76" s="23">
        <v>67</v>
      </c>
      <c r="B76" s="23" t="s">
        <v>513</v>
      </c>
      <c r="C76" s="39">
        <v>3204</v>
      </c>
      <c r="D76" s="39">
        <v>3602</v>
      </c>
      <c r="E76" s="39">
        <v>3801</v>
      </c>
      <c r="F76" s="39">
        <v>4398</v>
      </c>
      <c r="J76" s="63"/>
      <c r="K76" s="63"/>
      <c r="L76" s="63"/>
      <c r="M76" s="63"/>
    </row>
    <row r="77" ht="15.75" spans="1:13">
      <c r="A77" s="23">
        <v>68</v>
      </c>
      <c r="B77" s="23" t="s">
        <v>514</v>
      </c>
      <c r="C77" s="39">
        <v>3290</v>
      </c>
      <c r="D77" s="39">
        <v>3662</v>
      </c>
      <c r="E77" s="39">
        <v>3848</v>
      </c>
      <c r="F77" s="39">
        <v>4406</v>
      </c>
      <c r="J77" s="63"/>
      <c r="K77" s="63"/>
      <c r="L77" s="63"/>
      <c r="M77" s="63"/>
    </row>
    <row r="78" ht="15.75" spans="1:13">
      <c r="A78" s="23">
        <v>69</v>
      </c>
      <c r="B78" s="23" t="s">
        <v>515</v>
      </c>
      <c r="C78" s="39">
        <v>3332</v>
      </c>
      <c r="D78" s="39">
        <v>3730</v>
      </c>
      <c r="E78" s="39">
        <v>3929</v>
      </c>
      <c r="F78" s="39">
        <v>4526</v>
      </c>
      <c r="J78" s="63"/>
      <c r="K78" s="63"/>
      <c r="L78" s="63"/>
      <c r="M78" s="63"/>
    </row>
    <row r="79" ht="15.75" spans="1:13">
      <c r="A79" s="23">
        <v>70</v>
      </c>
      <c r="B79" s="23" t="s">
        <v>516</v>
      </c>
      <c r="C79" s="39">
        <v>4867</v>
      </c>
      <c r="D79" s="39">
        <v>5283</v>
      </c>
      <c r="E79" s="39">
        <v>5491</v>
      </c>
      <c r="F79" s="39">
        <v>6115</v>
      </c>
      <c r="J79" s="63"/>
      <c r="K79" s="63"/>
      <c r="L79" s="63"/>
      <c r="M79" s="63"/>
    </row>
    <row r="80" ht="15.75" spans="1:13">
      <c r="A80" s="23">
        <v>71</v>
      </c>
      <c r="B80" s="23" t="s">
        <v>517</v>
      </c>
      <c r="C80" s="39">
        <v>3306</v>
      </c>
      <c r="D80" s="39">
        <v>3702</v>
      </c>
      <c r="E80" s="39">
        <v>3900</v>
      </c>
      <c r="F80" s="39">
        <v>4494</v>
      </c>
      <c r="J80" s="63"/>
      <c r="K80" s="63"/>
      <c r="L80" s="63"/>
      <c r="M80" s="63"/>
    </row>
    <row r="81" ht="15.75" spans="1:13">
      <c r="A81" s="23">
        <v>72</v>
      </c>
      <c r="B81" s="23" t="s">
        <v>518</v>
      </c>
      <c r="C81" s="39">
        <v>4625</v>
      </c>
      <c r="D81" s="39">
        <v>5079</v>
      </c>
      <c r="E81" s="39">
        <v>5306</v>
      </c>
      <c r="F81" s="39">
        <v>5987</v>
      </c>
      <c r="J81" s="63"/>
      <c r="K81" s="63"/>
      <c r="L81" s="63"/>
      <c r="M81" s="63"/>
    </row>
    <row r="82" ht="15.75" spans="1:13">
      <c r="A82" s="23">
        <v>73</v>
      </c>
      <c r="B82" s="23" t="s">
        <v>519</v>
      </c>
      <c r="C82" s="39">
        <v>3859</v>
      </c>
      <c r="D82" s="39">
        <v>4249</v>
      </c>
      <c r="E82" s="39">
        <v>4444</v>
      </c>
      <c r="F82" s="39">
        <v>5029</v>
      </c>
      <c r="J82" s="63"/>
      <c r="K82" s="63"/>
      <c r="L82" s="63"/>
      <c r="M82" s="63"/>
    </row>
    <row r="83" ht="15.75" spans="1:13">
      <c r="A83" s="23">
        <v>74</v>
      </c>
      <c r="B83" s="23" t="s">
        <v>520</v>
      </c>
      <c r="C83" s="39">
        <v>4189</v>
      </c>
      <c r="D83" s="39">
        <v>4599</v>
      </c>
      <c r="E83" s="39">
        <v>4804</v>
      </c>
      <c r="F83" s="39">
        <v>5419</v>
      </c>
      <c r="J83" s="63"/>
      <c r="K83" s="63"/>
      <c r="L83" s="63"/>
      <c r="M83" s="63"/>
    </row>
    <row r="84" ht="15.75" spans="1:13">
      <c r="A84" s="23">
        <v>75</v>
      </c>
      <c r="B84" s="23" t="s">
        <v>521</v>
      </c>
      <c r="C84" s="39">
        <v>5810</v>
      </c>
      <c r="D84" s="39">
        <v>6236</v>
      </c>
      <c r="E84" s="39">
        <v>6449</v>
      </c>
      <c r="F84" s="39">
        <v>7088</v>
      </c>
      <c r="J84" s="63"/>
      <c r="K84" s="63"/>
      <c r="L84" s="63"/>
      <c r="M84" s="63"/>
    </row>
    <row r="85" ht="15.75" spans="1:13">
      <c r="A85" s="23">
        <v>76</v>
      </c>
      <c r="B85" s="23" t="s">
        <v>522</v>
      </c>
      <c r="C85" s="39">
        <v>3504</v>
      </c>
      <c r="D85" s="39">
        <v>3904</v>
      </c>
      <c r="E85" s="39">
        <v>4104</v>
      </c>
      <c r="F85" s="39">
        <v>4704</v>
      </c>
      <c r="J85" s="63"/>
      <c r="K85" s="63"/>
      <c r="L85" s="63"/>
      <c r="M85" s="63"/>
    </row>
    <row r="86" ht="15.75" spans="1:13">
      <c r="A86" s="23">
        <v>77</v>
      </c>
      <c r="B86" s="23" t="s">
        <v>523</v>
      </c>
      <c r="C86" s="39">
        <v>3302</v>
      </c>
      <c r="D86" s="39">
        <v>3700</v>
      </c>
      <c r="E86" s="39">
        <v>3899</v>
      </c>
      <c r="F86" s="39">
        <v>4496</v>
      </c>
      <c r="J86" s="63"/>
      <c r="K86" s="63"/>
      <c r="L86" s="63"/>
      <c r="M86" s="63"/>
    </row>
    <row r="87" ht="15.75" spans="1:13">
      <c r="A87" s="23">
        <v>78</v>
      </c>
      <c r="B87" s="23" t="s">
        <v>524</v>
      </c>
      <c r="C87" s="39">
        <v>3106</v>
      </c>
      <c r="D87" s="39">
        <v>3506</v>
      </c>
      <c r="E87" s="39">
        <v>3706</v>
      </c>
      <c r="F87" s="39">
        <v>4306</v>
      </c>
      <c r="J87" s="63"/>
      <c r="K87" s="63"/>
      <c r="L87" s="63"/>
      <c r="M87" s="63"/>
    </row>
    <row r="88" ht="15.75" spans="1:13">
      <c r="A88" s="23">
        <v>79</v>
      </c>
      <c r="B88" s="23" t="s">
        <v>525</v>
      </c>
      <c r="C88" s="39">
        <v>4971</v>
      </c>
      <c r="D88" s="39">
        <v>5345</v>
      </c>
      <c r="E88" s="39">
        <v>5532</v>
      </c>
      <c r="F88" s="39">
        <v>6093</v>
      </c>
      <c r="J88" s="63"/>
      <c r="K88" s="63"/>
      <c r="L88" s="63"/>
      <c r="M88" s="63"/>
    </row>
    <row r="89" ht="15.75" spans="1:13">
      <c r="A89" s="23">
        <v>83</v>
      </c>
      <c r="B89" s="23" t="s">
        <v>526</v>
      </c>
      <c r="C89" s="39">
        <v>5734</v>
      </c>
      <c r="D89" s="39">
        <v>6256</v>
      </c>
      <c r="E89" s="39">
        <v>6517</v>
      </c>
      <c r="F89" s="39">
        <v>7300</v>
      </c>
      <c r="J89" s="63"/>
      <c r="K89" s="63"/>
      <c r="L89" s="63"/>
      <c r="M89" s="63"/>
    </row>
    <row r="90" ht="15.75" spans="1:13">
      <c r="A90" s="23">
        <v>86</v>
      </c>
      <c r="B90" s="23" t="s">
        <v>527</v>
      </c>
      <c r="C90" s="39">
        <v>5124</v>
      </c>
      <c r="D90" s="39">
        <v>5554</v>
      </c>
      <c r="E90" s="39">
        <v>5769</v>
      </c>
      <c r="F90" s="39">
        <v>6414</v>
      </c>
      <c r="J90" s="63"/>
      <c r="K90" s="63"/>
      <c r="L90" s="63"/>
      <c r="M90" s="63"/>
    </row>
    <row r="91" ht="15.75" spans="1:13">
      <c r="A91" s="23">
        <v>87</v>
      </c>
      <c r="B91" s="23" t="s">
        <v>528</v>
      </c>
      <c r="C91" s="39">
        <v>7588</v>
      </c>
      <c r="D91" s="39">
        <v>8138</v>
      </c>
      <c r="E91" s="39">
        <v>8413</v>
      </c>
      <c r="F91" s="39">
        <v>9238</v>
      </c>
      <c r="J91" s="63"/>
      <c r="K91" s="63"/>
      <c r="L91" s="63"/>
      <c r="M91" s="63"/>
    </row>
    <row r="92" ht="15.75" spans="1:13">
      <c r="A92" s="23">
        <v>89</v>
      </c>
      <c r="B92" s="23" t="s">
        <v>529</v>
      </c>
      <c r="C92" s="39">
        <v>6426</v>
      </c>
      <c r="D92" s="39">
        <v>6946</v>
      </c>
      <c r="E92" s="39">
        <v>7206</v>
      </c>
      <c r="F92" s="39">
        <v>7986</v>
      </c>
      <c r="J92" s="63"/>
      <c r="K92" s="63"/>
      <c r="L92" s="63"/>
      <c r="M92" s="63"/>
    </row>
    <row r="93" ht="15.75" spans="1:13">
      <c r="A93" s="23">
        <v>91</v>
      </c>
      <c r="B93" s="23" t="s">
        <v>530</v>
      </c>
      <c r="C93" s="39">
        <v>1576</v>
      </c>
      <c r="D93" s="39">
        <v>1804</v>
      </c>
      <c r="E93" s="39">
        <v>1918</v>
      </c>
      <c r="F93" s="39">
        <v>2260</v>
      </c>
      <c r="J93" s="63"/>
      <c r="K93" s="63"/>
      <c r="L93" s="63"/>
      <c r="M93" s="63"/>
    </row>
    <row r="94" ht="15.75" spans="1:13">
      <c r="A94" s="23">
        <v>92</v>
      </c>
      <c r="B94" s="23" t="s">
        <v>531</v>
      </c>
      <c r="C94" s="39">
        <v>1257</v>
      </c>
      <c r="D94" s="39">
        <v>1469</v>
      </c>
      <c r="E94" s="39">
        <v>1575</v>
      </c>
      <c r="F94" s="39">
        <v>1893</v>
      </c>
      <c r="J94" s="63"/>
      <c r="K94" s="63"/>
      <c r="L94" s="63"/>
      <c r="M94" s="63"/>
    </row>
  </sheetData>
  <mergeCells count="4">
    <mergeCell ref="C4:F4"/>
    <mergeCell ref="A4:A5"/>
    <mergeCell ref="A19:A21"/>
    <mergeCell ref="A31:A33"/>
  </mergeCells>
  <pageMargins left="0.75" right="0.75" top="1" bottom="1" header="0.5" footer="0.5"/>
  <pageSetup paperSize="9" orientation="portrait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94"/>
  <sheetViews>
    <sheetView workbookViewId="0">
      <selection activeCell="D24" sqref="D24"/>
    </sheetView>
  </sheetViews>
  <sheetFormatPr defaultColWidth="9.18095238095238" defaultRowHeight="12.75"/>
  <cols>
    <col min="1" max="1" width="24.2666666666667" style="61" customWidth="1"/>
    <col min="2" max="2" width="44.4571428571429" style="61" customWidth="1"/>
    <col min="3" max="3" width="11" style="61" customWidth="1"/>
    <col min="4" max="4" width="10.4571428571429" style="61" customWidth="1"/>
    <col min="5" max="5" width="28.2666666666667" style="61" customWidth="1"/>
    <col min="6" max="6" width="10.4571428571429" style="61" customWidth="1"/>
    <col min="7" max="7" width="26.4571428571429" style="61" customWidth="1"/>
    <col min="8" max="8" width="7.18095238095238" style="61" customWidth="1"/>
    <col min="9" max="9" width="12" style="61" customWidth="1"/>
    <col min="10" max="10" width="12.4571428571429" style="61" customWidth="1"/>
    <col min="11" max="11" width="36.1809523809524" style="61" customWidth="1"/>
    <col min="12" max="12" width="18.7238095238095" style="61" customWidth="1"/>
    <col min="13" max="13" width="32.4571428571429" style="61" customWidth="1"/>
    <col min="14" max="15" width="12" style="61" customWidth="1"/>
    <col min="16" max="16" width="10.2666666666667" style="61" customWidth="1"/>
    <col min="17" max="17" width="12.7238095238095" style="61" customWidth="1"/>
    <col min="18" max="18" width="10.4571428571429" style="61" customWidth="1"/>
    <col min="19" max="19" width="11.4571428571429" style="61" customWidth="1"/>
    <col min="20" max="20" width="18.4571428571429" style="61" customWidth="1"/>
    <col min="21" max="21" width="10.2666666666667" style="61" customWidth="1"/>
    <col min="22" max="22" width="8.45714285714286" style="61" customWidth="1"/>
    <col min="23" max="23" width="3.45714285714286" style="61" customWidth="1"/>
    <col min="24" max="24" width="9.45714285714286" style="61" customWidth="1"/>
    <col min="25" max="16384" width="9.18095238095238" style="61"/>
  </cols>
  <sheetData>
    <row r="1" s="60" customFormat="1" ht="15" spans="1:23">
      <c r="A1" s="41" t="s">
        <v>533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62"/>
      <c r="P1" s="62"/>
      <c r="Q1" s="62"/>
      <c r="R1" s="62"/>
      <c r="S1" s="62"/>
      <c r="T1" s="62"/>
      <c r="U1" s="62"/>
      <c r="V1" s="62"/>
      <c r="W1" s="62"/>
    </row>
    <row r="2" ht="15" spans="1:23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</row>
    <row r="3" ht="15" spans="1:23">
      <c r="A3" s="43"/>
      <c r="B3" s="43">
        <f>VLOOKUP('1.Общие данные по зданию'!C7,Климатология2021!B6:F94,IF('1.Общие данные по зданию'!C17=18,2,IF('1.Общие данные по зданию'!C17=20,3,IF('1.Общие данные по зданию'!C17=21,4,5))),0)</f>
        <v>2502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</row>
    <row r="4" ht="31.5" customHeight="1" spans="1:23">
      <c r="A4" s="44"/>
      <c r="B4" s="44"/>
      <c r="C4" s="45" t="s">
        <v>439</v>
      </c>
      <c r="D4" s="45"/>
      <c r="E4" s="45"/>
      <c r="F4" s="45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</row>
    <row r="5" ht="18" spans="1:23">
      <c r="A5" s="44"/>
      <c r="B5" s="44" t="s">
        <v>42</v>
      </c>
      <c r="C5" s="39" t="s">
        <v>440</v>
      </c>
      <c r="D5" s="39" t="s">
        <v>441</v>
      </c>
      <c r="E5" s="39" t="s">
        <v>442</v>
      </c>
      <c r="F5" s="39" t="s">
        <v>443</v>
      </c>
      <c r="G5" s="43"/>
      <c r="J5" s="63"/>
      <c r="K5" s="63"/>
      <c r="L5" s="63"/>
      <c r="M5" s="63"/>
      <c r="N5" s="43"/>
      <c r="O5" s="43"/>
      <c r="P5" s="43"/>
      <c r="Q5" s="43"/>
      <c r="R5" s="43"/>
      <c r="S5" s="43"/>
      <c r="T5" s="43"/>
      <c r="U5" s="43"/>
      <c r="V5" s="43"/>
      <c r="W5" s="43"/>
    </row>
    <row r="6" ht="15.75" spans="1:13">
      <c r="A6" s="23">
        <v>1</v>
      </c>
      <c r="B6" s="23" t="s">
        <v>444</v>
      </c>
      <c r="C6" s="39">
        <v>2156</v>
      </c>
      <c r="D6" s="39">
        <v>2474</v>
      </c>
      <c r="E6" s="39">
        <v>2633</v>
      </c>
      <c r="F6" s="39">
        <v>3110</v>
      </c>
      <c r="J6" s="63"/>
      <c r="K6" s="63"/>
      <c r="L6" s="63"/>
      <c r="M6" s="63"/>
    </row>
    <row r="7" ht="15.75" spans="1:13">
      <c r="A7" s="23">
        <v>2</v>
      </c>
      <c r="B7" s="23" t="s">
        <v>445</v>
      </c>
      <c r="C7" s="39">
        <v>4614</v>
      </c>
      <c r="D7" s="39">
        <v>5026</v>
      </c>
      <c r="E7" s="39">
        <v>5232</v>
      </c>
      <c r="F7" s="39">
        <v>5850</v>
      </c>
      <c r="J7" s="63"/>
      <c r="K7" s="63"/>
      <c r="L7" s="63"/>
      <c r="M7" s="63"/>
    </row>
    <row r="8" ht="15.75" spans="1:13">
      <c r="A8" s="23">
        <v>3</v>
      </c>
      <c r="B8" s="23" t="s">
        <v>446</v>
      </c>
      <c r="C8" s="39">
        <v>5933</v>
      </c>
      <c r="D8" s="39">
        <v>6397</v>
      </c>
      <c r="E8" s="39">
        <v>6629</v>
      </c>
      <c r="F8" s="39">
        <v>7325</v>
      </c>
      <c r="J8" s="63"/>
      <c r="K8" s="63"/>
      <c r="L8" s="63"/>
      <c r="M8" s="63"/>
    </row>
    <row r="9" ht="15.75" spans="1:13">
      <c r="A9" s="23">
        <v>4</v>
      </c>
      <c r="B9" s="23" t="s">
        <v>447</v>
      </c>
      <c r="C9" s="39">
        <v>5174</v>
      </c>
      <c r="D9" s="39">
        <v>5610</v>
      </c>
      <c r="E9" s="39">
        <v>5828</v>
      </c>
      <c r="F9" s="39">
        <v>6482</v>
      </c>
      <c r="J9" s="63"/>
      <c r="K9" s="63"/>
      <c r="L9" s="63"/>
      <c r="M9" s="63"/>
    </row>
    <row r="10" ht="15.75" spans="1:13">
      <c r="A10" s="23">
        <v>5</v>
      </c>
      <c r="B10" s="23" t="s">
        <v>448</v>
      </c>
      <c r="C10" s="39">
        <v>1825</v>
      </c>
      <c r="D10" s="39">
        <v>2099</v>
      </c>
      <c r="E10" s="39">
        <v>2236</v>
      </c>
      <c r="F10" s="39">
        <v>2647</v>
      </c>
      <c r="J10" s="63"/>
      <c r="K10" s="63"/>
      <c r="L10" s="63"/>
      <c r="M10" s="63"/>
    </row>
    <row r="11" ht="15.75" spans="1:13">
      <c r="A11" s="23">
        <v>6</v>
      </c>
      <c r="B11" s="23" t="s">
        <v>449</v>
      </c>
      <c r="C11" s="39">
        <v>2525</v>
      </c>
      <c r="D11" s="39">
        <v>2867</v>
      </c>
      <c r="E11" s="39">
        <v>3038</v>
      </c>
      <c r="F11" s="39">
        <v>3551</v>
      </c>
      <c r="J11" s="63"/>
      <c r="K11" s="63"/>
      <c r="L11" s="63"/>
      <c r="M11" s="63"/>
    </row>
    <row r="12" ht="15.75" spans="1:13">
      <c r="A12" s="23">
        <v>7</v>
      </c>
      <c r="B12" s="23" t="s">
        <v>450</v>
      </c>
      <c r="C12" s="39">
        <v>2303</v>
      </c>
      <c r="D12" s="39">
        <v>2589</v>
      </c>
      <c r="E12" s="39">
        <v>2732</v>
      </c>
      <c r="F12" s="39">
        <v>3161</v>
      </c>
      <c r="J12" s="63"/>
      <c r="K12" s="63"/>
      <c r="L12" s="63"/>
      <c r="M12" s="63"/>
    </row>
    <row r="13" ht="15.75" spans="1:13">
      <c r="A13" s="23">
        <v>8</v>
      </c>
      <c r="B13" s="23" t="s">
        <v>451</v>
      </c>
      <c r="C13" s="39">
        <v>3061</v>
      </c>
      <c r="D13" s="39">
        <v>3435</v>
      </c>
      <c r="E13" s="39">
        <v>3622</v>
      </c>
      <c r="F13" s="39">
        <v>4183</v>
      </c>
      <c r="J13" s="63"/>
      <c r="K13" s="63"/>
      <c r="L13" s="63"/>
      <c r="M13" s="63"/>
    </row>
    <row r="14" ht="15.75" spans="1:13">
      <c r="A14" s="23">
        <v>9</v>
      </c>
      <c r="B14" s="23" t="s">
        <v>452</v>
      </c>
      <c r="C14" s="39">
        <v>2755</v>
      </c>
      <c r="D14" s="39">
        <v>3135</v>
      </c>
      <c r="E14" s="39">
        <v>3325</v>
      </c>
      <c r="F14" s="39">
        <v>3895</v>
      </c>
      <c r="J14" s="63"/>
      <c r="K14" s="63"/>
      <c r="L14" s="63"/>
      <c r="M14" s="63"/>
    </row>
    <row r="15" ht="15.75" spans="1:13">
      <c r="A15" s="23">
        <v>10</v>
      </c>
      <c r="B15" s="23" t="s">
        <v>453</v>
      </c>
      <c r="C15" s="39">
        <v>5052</v>
      </c>
      <c r="D15" s="39">
        <v>5552</v>
      </c>
      <c r="E15" s="39">
        <v>5802</v>
      </c>
      <c r="F15" s="39">
        <v>6552</v>
      </c>
      <c r="J15" s="63"/>
      <c r="K15" s="63"/>
      <c r="L15" s="63"/>
      <c r="M15" s="63"/>
    </row>
    <row r="16" ht="15.75" spans="1:13">
      <c r="A16" s="23">
        <v>11</v>
      </c>
      <c r="B16" s="23" t="s">
        <v>454</v>
      </c>
      <c r="C16" s="39">
        <v>5770</v>
      </c>
      <c r="D16" s="39">
        <v>6260</v>
      </c>
      <c r="E16" s="39">
        <v>6505</v>
      </c>
      <c r="F16" s="39">
        <v>7240</v>
      </c>
      <c r="J16" s="63"/>
      <c r="K16" s="63"/>
      <c r="L16" s="63"/>
      <c r="M16" s="63"/>
    </row>
    <row r="17" ht="15.75" spans="1:13">
      <c r="A17" s="23">
        <v>12</v>
      </c>
      <c r="B17" s="23" t="s">
        <v>455</v>
      </c>
      <c r="C17" s="39">
        <v>4877</v>
      </c>
      <c r="D17" s="39">
        <v>5343</v>
      </c>
      <c r="E17" s="39">
        <v>5576</v>
      </c>
      <c r="F17" s="39">
        <v>6275</v>
      </c>
      <c r="J17" s="63"/>
      <c r="K17" s="63"/>
      <c r="L17" s="63"/>
      <c r="M17" s="63"/>
    </row>
    <row r="18" ht="15.75" spans="1:13">
      <c r="A18" s="23">
        <v>13</v>
      </c>
      <c r="B18" s="23" t="s">
        <v>456</v>
      </c>
      <c r="C18" s="39">
        <v>4439</v>
      </c>
      <c r="D18" s="39">
        <v>4853</v>
      </c>
      <c r="E18" s="39">
        <v>5060</v>
      </c>
      <c r="F18" s="39">
        <v>5681</v>
      </c>
      <c r="J18" s="63"/>
      <c r="K18" s="63"/>
      <c r="L18" s="63"/>
      <c r="M18" s="63"/>
    </row>
    <row r="19" ht="15.75" spans="1:13">
      <c r="A19" s="23">
        <v>14</v>
      </c>
      <c r="B19" s="23" t="s">
        <v>457</v>
      </c>
      <c r="C19" s="39">
        <v>8992</v>
      </c>
      <c r="D19" s="39">
        <v>9456</v>
      </c>
      <c r="E19" s="39">
        <v>9688</v>
      </c>
      <c r="F19" s="39">
        <v>10384</v>
      </c>
      <c r="J19" s="63"/>
      <c r="K19" s="63"/>
      <c r="L19" s="63"/>
      <c r="M19" s="63"/>
    </row>
    <row r="20" ht="15.75" spans="1:13">
      <c r="A20" s="23"/>
      <c r="B20" s="23" t="s">
        <v>458</v>
      </c>
      <c r="C20" s="39">
        <v>9793</v>
      </c>
      <c r="D20" s="39">
        <v>10293</v>
      </c>
      <c r="E20" s="39">
        <v>10543</v>
      </c>
      <c r="F20" s="39">
        <v>11293</v>
      </c>
      <c r="J20" s="63"/>
      <c r="K20" s="63"/>
      <c r="L20" s="63"/>
      <c r="M20" s="63"/>
    </row>
    <row r="21" ht="15.75" spans="1:13">
      <c r="A21" s="23"/>
      <c r="B21" s="23" t="s">
        <v>459</v>
      </c>
      <c r="C21" s="39">
        <v>10123</v>
      </c>
      <c r="D21" s="39">
        <v>10711</v>
      </c>
      <c r="E21" s="39">
        <v>11005</v>
      </c>
      <c r="F21" s="39">
        <v>11887</v>
      </c>
      <c r="J21" s="63"/>
      <c r="K21" s="63"/>
      <c r="L21" s="63"/>
      <c r="M21" s="63"/>
    </row>
    <row r="22" ht="15.75" spans="1:13">
      <c r="A22" s="23">
        <v>15</v>
      </c>
      <c r="B22" s="23" t="s">
        <v>460</v>
      </c>
      <c r="C22" s="39">
        <v>2490</v>
      </c>
      <c r="D22" s="39">
        <v>2832</v>
      </c>
      <c r="E22" s="39">
        <v>3003</v>
      </c>
      <c r="F22" s="39">
        <v>3516</v>
      </c>
      <c r="J22" s="63"/>
      <c r="K22" s="63"/>
      <c r="L22" s="63"/>
      <c r="M22" s="63"/>
    </row>
    <row r="23" ht="15.75" spans="1:13">
      <c r="A23" s="23">
        <v>16</v>
      </c>
      <c r="B23" s="23" t="s">
        <v>461</v>
      </c>
      <c r="C23" s="39">
        <v>4664</v>
      </c>
      <c r="D23" s="39">
        <v>5082</v>
      </c>
      <c r="E23" s="39">
        <v>5291</v>
      </c>
      <c r="F23" s="39">
        <v>5918</v>
      </c>
      <c r="J23" s="63"/>
      <c r="K23" s="63"/>
      <c r="L23" s="63"/>
      <c r="M23" s="63"/>
    </row>
    <row r="24" ht="15.75" spans="1:13">
      <c r="A24" s="23">
        <v>17</v>
      </c>
      <c r="B24" s="23" t="s">
        <v>462</v>
      </c>
      <c r="C24" s="39">
        <v>6193</v>
      </c>
      <c r="D24" s="39">
        <v>6639</v>
      </c>
      <c r="E24" s="39">
        <v>6862</v>
      </c>
      <c r="F24" s="39">
        <v>7531</v>
      </c>
      <c r="J24" s="63"/>
      <c r="K24" s="63"/>
      <c r="L24" s="63"/>
      <c r="M24" s="63"/>
    </row>
    <row r="25" ht="15.75" spans="1:13">
      <c r="A25" s="23">
        <v>18</v>
      </c>
      <c r="B25" s="23" t="s">
        <v>463</v>
      </c>
      <c r="C25" s="39">
        <v>5050</v>
      </c>
      <c r="D25" s="39">
        <v>5504</v>
      </c>
      <c r="E25" s="39">
        <v>5731</v>
      </c>
      <c r="F25" s="39">
        <v>6412</v>
      </c>
      <c r="J25" s="63"/>
      <c r="K25" s="63"/>
      <c r="L25" s="63"/>
      <c r="M25" s="63"/>
    </row>
    <row r="26" ht="15.75" spans="1:13">
      <c r="A26" s="23">
        <v>19</v>
      </c>
      <c r="B26" s="23" t="s">
        <v>464</v>
      </c>
      <c r="C26" s="39">
        <v>5444</v>
      </c>
      <c r="D26" s="39">
        <v>5908</v>
      </c>
      <c r="E26" s="39">
        <v>6140</v>
      </c>
      <c r="F26" s="39">
        <v>6836</v>
      </c>
      <c r="J26" s="63"/>
      <c r="K26" s="63"/>
      <c r="L26" s="63"/>
      <c r="M26" s="63"/>
    </row>
    <row r="27" ht="15.75" spans="1:13">
      <c r="A27" s="23">
        <v>20</v>
      </c>
      <c r="B27" s="23" t="s">
        <v>465</v>
      </c>
      <c r="C27" s="39">
        <v>2410</v>
      </c>
      <c r="D27" s="39">
        <v>2728</v>
      </c>
      <c r="E27" s="39">
        <v>2887</v>
      </c>
      <c r="F27" s="39">
        <v>3364</v>
      </c>
      <c r="J27" s="63"/>
      <c r="K27" s="63"/>
      <c r="L27" s="63"/>
      <c r="M27" s="63"/>
    </row>
    <row r="28" ht="15.75" spans="1:13">
      <c r="A28" s="23">
        <v>21</v>
      </c>
      <c r="B28" s="23" t="s">
        <v>466</v>
      </c>
      <c r="C28" s="39">
        <v>4622</v>
      </c>
      <c r="D28" s="39">
        <v>5038</v>
      </c>
      <c r="E28" s="39">
        <v>5246</v>
      </c>
      <c r="F28" s="39">
        <v>5870</v>
      </c>
      <c r="J28" s="63"/>
      <c r="K28" s="63"/>
      <c r="L28" s="63"/>
      <c r="M28" s="63"/>
    </row>
    <row r="29" ht="15.75" spans="1:13">
      <c r="A29" s="23">
        <v>22</v>
      </c>
      <c r="B29" s="23" t="s">
        <v>467</v>
      </c>
      <c r="C29" s="39">
        <v>5261</v>
      </c>
      <c r="D29" s="39">
        <v>5697</v>
      </c>
      <c r="E29" s="39">
        <v>5915</v>
      </c>
      <c r="F29" s="39">
        <v>6569</v>
      </c>
      <c r="J29" s="63"/>
      <c r="K29" s="63"/>
      <c r="L29" s="63"/>
      <c r="M29" s="63"/>
    </row>
    <row r="30" ht="15.75" spans="1:13">
      <c r="A30" s="23">
        <v>23</v>
      </c>
      <c r="B30" s="23" t="s">
        <v>116</v>
      </c>
      <c r="C30" s="39">
        <v>2190</v>
      </c>
      <c r="D30" s="39">
        <v>2502</v>
      </c>
      <c r="E30" s="39">
        <v>2658</v>
      </c>
      <c r="F30" s="39">
        <v>3126</v>
      </c>
      <c r="J30" s="63"/>
      <c r="K30" s="63"/>
      <c r="L30" s="63"/>
      <c r="M30" s="63"/>
    </row>
    <row r="31" ht="15.75" spans="1:13">
      <c r="A31" s="23">
        <v>24</v>
      </c>
      <c r="B31" s="23" t="s">
        <v>468</v>
      </c>
      <c r="C31" s="39">
        <v>5879</v>
      </c>
      <c r="D31" s="39">
        <v>6385</v>
      </c>
      <c r="E31" s="39">
        <v>6638</v>
      </c>
      <c r="F31" s="39">
        <v>7397</v>
      </c>
      <c r="J31" s="63"/>
      <c r="K31" s="63"/>
      <c r="L31" s="63"/>
      <c r="M31" s="63"/>
    </row>
    <row r="32" ht="15.75" spans="1:13">
      <c r="A32" s="23"/>
      <c r="B32" s="23" t="s">
        <v>469</v>
      </c>
      <c r="C32" s="39">
        <v>9289</v>
      </c>
      <c r="D32" s="39">
        <v>9801</v>
      </c>
      <c r="E32" s="39">
        <v>10057</v>
      </c>
      <c r="F32" s="39">
        <v>10825</v>
      </c>
      <c r="J32" s="63"/>
      <c r="K32" s="63"/>
      <c r="L32" s="63"/>
      <c r="M32" s="63"/>
    </row>
    <row r="33" ht="15.75" spans="1:13">
      <c r="A33" s="23"/>
      <c r="B33" s="23" t="s">
        <v>470</v>
      </c>
      <c r="C33" s="39">
        <v>9439</v>
      </c>
      <c r="D33" s="39">
        <v>9983</v>
      </c>
      <c r="E33" s="39">
        <v>10255</v>
      </c>
      <c r="F33" s="39">
        <v>11071</v>
      </c>
      <c r="J33" s="63"/>
      <c r="K33" s="63"/>
      <c r="L33" s="63"/>
      <c r="M33" s="63"/>
    </row>
    <row r="34" ht="15.75" spans="1:13">
      <c r="A34" s="23">
        <v>25</v>
      </c>
      <c r="B34" s="23" t="s">
        <v>471</v>
      </c>
      <c r="C34" s="39">
        <v>3946</v>
      </c>
      <c r="D34" s="39">
        <v>4316</v>
      </c>
      <c r="E34" s="39">
        <v>4501</v>
      </c>
      <c r="F34" s="39">
        <v>5056</v>
      </c>
      <c r="J34" s="63"/>
      <c r="K34" s="63"/>
      <c r="L34" s="63"/>
      <c r="M34" s="63"/>
    </row>
    <row r="35" ht="15.75" spans="1:13">
      <c r="A35" s="23">
        <v>26</v>
      </c>
      <c r="B35" s="23" t="s">
        <v>472</v>
      </c>
      <c r="C35" s="39">
        <v>2838</v>
      </c>
      <c r="D35" s="39">
        <v>3220</v>
      </c>
      <c r="E35" s="39">
        <v>3411</v>
      </c>
      <c r="F35" s="39">
        <v>3984</v>
      </c>
      <c r="J35" s="63"/>
      <c r="K35" s="63"/>
      <c r="L35" s="63"/>
      <c r="M35" s="63"/>
    </row>
    <row r="36" ht="15.75" spans="1:13">
      <c r="A36" s="23">
        <v>27</v>
      </c>
      <c r="B36" s="23" t="s">
        <v>473</v>
      </c>
      <c r="C36" s="39">
        <v>5406</v>
      </c>
      <c r="D36" s="39">
        <v>5848</v>
      </c>
      <c r="E36" s="39">
        <v>6069</v>
      </c>
      <c r="F36" s="39">
        <v>6732</v>
      </c>
      <c r="J36" s="63"/>
      <c r="K36" s="63"/>
      <c r="L36" s="63"/>
      <c r="M36" s="63"/>
    </row>
    <row r="37" ht="15.75" spans="1:13">
      <c r="A37" s="23">
        <v>28</v>
      </c>
      <c r="B37" s="23" t="s">
        <v>474</v>
      </c>
      <c r="C37" s="39">
        <v>5547</v>
      </c>
      <c r="D37" s="39">
        <v>5961</v>
      </c>
      <c r="E37" s="39">
        <v>6168</v>
      </c>
      <c r="F37" s="39">
        <v>6789</v>
      </c>
      <c r="J37" s="63"/>
      <c r="K37" s="63"/>
      <c r="L37" s="63"/>
      <c r="M37" s="63"/>
    </row>
    <row r="38" ht="15.75" spans="1:13">
      <c r="A38" s="23">
        <v>29</v>
      </c>
      <c r="B38" s="23" t="s">
        <v>475</v>
      </c>
      <c r="C38" s="39">
        <v>5662</v>
      </c>
      <c r="D38" s="39">
        <v>6160</v>
      </c>
      <c r="E38" s="39">
        <v>6409</v>
      </c>
      <c r="F38" s="39">
        <v>7156</v>
      </c>
      <c r="J38" s="63"/>
      <c r="K38" s="63"/>
      <c r="L38" s="63"/>
      <c r="M38" s="63"/>
    </row>
    <row r="39" ht="15.75" spans="1:13">
      <c r="A39" s="23">
        <v>30</v>
      </c>
      <c r="B39" s="23" t="s">
        <v>476</v>
      </c>
      <c r="C39" s="39">
        <v>2485</v>
      </c>
      <c r="D39" s="39">
        <v>2769</v>
      </c>
      <c r="E39" s="39">
        <v>2911</v>
      </c>
      <c r="F39" s="39">
        <v>3337</v>
      </c>
      <c r="J39" s="63"/>
      <c r="K39" s="63"/>
      <c r="L39" s="63"/>
      <c r="M39" s="63"/>
    </row>
    <row r="40" ht="15.75" spans="1:13">
      <c r="A40" s="23">
        <v>31</v>
      </c>
      <c r="B40" s="23" t="s">
        <v>477</v>
      </c>
      <c r="C40" s="39">
        <v>3411</v>
      </c>
      <c r="D40" s="39">
        <v>3785</v>
      </c>
      <c r="E40" s="39">
        <v>3972</v>
      </c>
      <c r="F40" s="39">
        <v>4533</v>
      </c>
      <c r="J40" s="63"/>
      <c r="K40" s="63"/>
      <c r="L40" s="63"/>
      <c r="M40" s="63"/>
    </row>
    <row r="41" ht="15.75" spans="1:13">
      <c r="A41" s="23">
        <v>32</v>
      </c>
      <c r="B41" s="23" t="s">
        <v>478</v>
      </c>
      <c r="C41" s="39">
        <v>3742</v>
      </c>
      <c r="D41" s="39">
        <v>4130</v>
      </c>
      <c r="E41" s="39">
        <v>4324</v>
      </c>
      <c r="F41" s="39">
        <v>4906</v>
      </c>
      <c r="J41" s="63"/>
      <c r="K41" s="63"/>
      <c r="L41" s="63"/>
      <c r="M41" s="63"/>
    </row>
    <row r="42" ht="15.75" spans="1:13">
      <c r="A42" s="23">
        <v>33</v>
      </c>
      <c r="B42" s="23" t="s">
        <v>479</v>
      </c>
      <c r="C42" s="39">
        <v>4395</v>
      </c>
      <c r="D42" s="39">
        <v>4809</v>
      </c>
      <c r="E42" s="39">
        <v>5016</v>
      </c>
      <c r="F42" s="39">
        <v>5637</v>
      </c>
      <c r="J42" s="63"/>
      <c r="K42" s="63"/>
      <c r="L42" s="63"/>
      <c r="M42" s="63"/>
    </row>
    <row r="43" ht="15.75" spans="1:13">
      <c r="A43" s="23">
        <v>34</v>
      </c>
      <c r="B43" s="23" t="s">
        <v>480</v>
      </c>
      <c r="C43" s="39">
        <v>2869</v>
      </c>
      <c r="D43" s="39">
        <v>3173</v>
      </c>
      <c r="E43" s="39">
        <v>3325</v>
      </c>
      <c r="F43" s="39">
        <v>3781</v>
      </c>
      <c r="J43" s="63"/>
      <c r="K43" s="63"/>
      <c r="L43" s="63"/>
      <c r="M43" s="63"/>
    </row>
    <row r="44" ht="15.75" spans="1:13">
      <c r="A44" s="23">
        <v>35</v>
      </c>
      <c r="B44" s="23" t="s">
        <v>481</v>
      </c>
      <c r="C44" s="39">
        <v>5070</v>
      </c>
      <c r="D44" s="39">
        <v>5546</v>
      </c>
      <c r="E44" s="39">
        <v>5784</v>
      </c>
      <c r="F44" s="39">
        <v>6498</v>
      </c>
      <c r="J44" s="63"/>
      <c r="K44" s="63"/>
      <c r="L44" s="63"/>
      <c r="M44" s="63"/>
    </row>
    <row r="45" ht="15.75" spans="1:13">
      <c r="A45" s="23">
        <v>36</v>
      </c>
      <c r="B45" s="23" t="s">
        <v>482</v>
      </c>
      <c r="C45" s="39">
        <v>3549</v>
      </c>
      <c r="D45" s="39">
        <v>3937</v>
      </c>
      <c r="E45" s="39">
        <v>4131</v>
      </c>
      <c r="F45" s="39">
        <v>4713</v>
      </c>
      <c r="J45" s="63"/>
      <c r="K45" s="63"/>
      <c r="L45" s="63"/>
      <c r="M45" s="63"/>
    </row>
    <row r="46" ht="15.75" spans="1:13">
      <c r="A46" s="23">
        <v>37</v>
      </c>
      <c r="B46" s="23" t="s">
        <v>483</v>
      </c>
      <c r="C46" s="39">
        <v>4502</v>
      </c>
      <c r="D46" s="39">
        <v>4916</v>
      </c>
      <c r="E46" s="39">
        <v>5123</v>
      </c>
      <c r="F46" s="39">
        <v>5744</v>
      </c>
      <c r="J46" s="63"/>
      <c r="K46" s="63"/>
      <c r="L46" s="63"/>
      <c r="M46" s="63"/>
    </row>
    <row r="47" ht="15.75" spans="1:13">
      <c r="A47" s="23">
        <v>38</v>
      </c>
      <c r="B47" s="23" t="s">
        <v>484</v>
      </c>
      <c r="C47" s="39">
        <v>5489</v>
      </c>
      <c r="D47" s="39">
        <v>5951</v>
      </c>
      <c r="E47" s="39">
        <v>6182</v>
      </c>
      <c r="F47" s="39">
        <v>6875</v>
      </c>
      <c r="J47" s="63"/>
      <c r="K47" s="63"/>
      <c r="L47" s="63"/>
      <c r="M47" s="63"/>
    </row>
    <row r="48" ht="15.75" spans="1:13">
      <c r="A48" s="23">
        <v>39</v>
      </c>
      <c r="B48" s="23" t="s">
        <v>485</v>
      </c>
      <c r="C48" s="39">
        <v>3125</v>
      </c>
      <c r="D48" s="39">
        <v>3507</v>
      </c>
      <c r="E48" s="39">
        <v>3698</v>
      </c>
      <c r="F48" s="39">
        <v>4271</v>
      </c>
      <c r="J48" s="63"/>
      <c r="K48" s="63"/>
      <c r="L48" s="63"/>
      <c r="M48" s="63"/>
    </row>
    <row r="49" ht="15.75" spans="1:13">
      <c r="A49" s="23">
        <v>40</v>
      </c>
      <c r="B49" s="23" t="s">
        <v>486</v>
      </c>
      <c r="C49" s="39">
        <v>4033</v>
      </c>
      <c r="D49" s="39">
        <v>4447</v>
      </c>
      <c r="E49" s="39">
        <v>4654</v>
      </c>
      <c r="F49" s="39">
        <v>5275</v>
      </c>
      <c r="J49" s="63"/>
      <c r="K49" s="63"/>
      <c r="L49" s="63"/>
      <c r="M49" s="63"/>
    </row>
    <row r="50" ht="15.75" spans="1:13">
      <c r="A50" s="23">
        <v>41</v>
      </c>
      <c r="B50" s="23" t="s">
        <v>487</v>
      </c>
      <c r="C50" s="39">
        <v>4495</v>
      </c>
      <c r="D50" s="39">
        <v>4987</v>
      </c>
      <c r="E50" s="39">
        <v>5233</v>
      </c>
      <c r="F50" s="39">
        <v>5971</v>
      </c>
      <c r="J50" s="63"/>
      <c r="K50" s="63"/>
      <c r="L50" s="63"/>
      <c r="M50" s="63"/>
    </row>
    <row r="51" ht="15.75" spans="1:13">
      <c r="A51" s="23">
        <v>42</v>
      </c>
      <c r="B51" s="23" t="s">
        <v>488</v>
      </c>
      <c r="C51" s="39">
        <v>5501</v>
      </c>
      <c r="D51" s="39">
        <v>5937</v>
      </c>
      <c r="E51" s="39">
        <v>6155</v>
      </c>
      <c r="F51" s="39">
        <v>6809</v>
      </c>
      <c r="J51" s="63"/>
      <c r="K51" s="63"/>
      <c r="L51" s="63"/>
      <c r="M51" s="63"/>
    </row>
    <row r="52" ht="15.75" spans="1:13">
      <c r="A52" s="23">
        <v>43</v>
      </c>
      <c r="B52" s="23" t="s">
        <v>489</v>
      </c>
      <c r="C52" s="39">
        <v>5174</v>
      </c>
      <c r="D52" s="39">
        <v>5640</v>
      </c>
      <c r="E52" s="39">
        <v>5873</v>
      </c>
      <c r="F52" s="39">
        <v>6572</v>
      </c>
      <c r="J52" s="63"/>
      <c r="K52" s="63"/>
      <c r="L52" s="63"/>
      <c r="M52" s="63"/>
    </row>
    <row r="53" ht="15.75" spans="1:13">
      <c r="A53" s="23">
        <v>44</v>
      </c>
      <c r="B53" s="23" t="s">
        <v>490</v>
      </c>
      <c r="C53" s="39">
        <v>4506</v>
      </c>
      <c r="D53" s="39">
        <v>4924</v>
      </c>
      <c r="E53" s="39">
        <v>5133</v>
      </c>
      <c r="F53" s="39">
        <v>5760</v>
      </c>
      <c r="J53" s="63"/>
      <c r="K53" s="63"/>
      <c r="L53" s="63"/>
      <c r="M53" s="63"/>
    </row>
    <row r="54" ht="15.75" spans="1:13">
      <c r="A54" s="23">
        <v>45</v>
      </c>
      <c r="B54" s="23" t="s">
        <v>491</v>
      </c>
      <c r="C54" s="39">
        <v>5270</v>
      </c>
      <c r="D54" s="39">
        <v>5704</v>
      </c>
      <c r="E54" s="39">
        <v>5921</v>
      </c>
      <c r="F54" s="39">
        <v>6572</v>
      </c>
      <c r="J54" s="63"/>
      <c r="K54" s="63"/>
      <c r="L54" s="63"/>
      <c r="M54" s="63"/>
    </row>
    <row r="55" ht="15.75" spans="1:13">
      <c r="A55" s="23">
        <v>46</v>
      </c>
      <c r="B55" s="23" t="s">
        <v>492</v>
      </c>
      <c r="C55" s="39">
        <v>3649</v>
      </c>
      <c r="D55" s="39">
        <v>4037</v>
      </c>
      <c r="E55" s="39">
        <v>4231</v>
      </c>
      <c r="F55" s="39">
        <v>4813</v>
      </c>
      <c r="J55" s="63"/>
      <c r="K55" s="63"/>
      <c r="L55" s="63"/>
      <c r="M55" s="63"/>
    </row>
    <row r="56" ht="15.75" spans="1:13">
      <c r="A56" s="23">
        <v>47</v>
      </c>
      <c r="B56" s="23" t="s">
        <v>493</v>
      </c>
      <c r="C56" s="39">
        <v>3945</v>
      </c>
      <c r="D56" s="39">
        <v>4361</v>
      </c>
      <c r="E56" s="39">
        <v>4569</v>
      </c>
      <c r="F56" s="39">
        <v>5193</v>
      </c>
      <c r="J56" s="63"/>
      <c r="K56" s="63"/>
      <c r="L56" s="63"/>
      <c r="M56" s="63"/>
    </row>
    <row r="57" ht="15.75" spans="1:13">
      <c r="A57" s="23">
        <v>48</v>
      </c>
      <c r="B57" s="23" t="s">
        <v>494</v>
      </c>
      <c r="C57" s="39">
        <v>3849</v>
      </c>
      <c r="D57" s="39">
        <v>4241</v>
      </c>
      <c r="E57" s="39">
        <v>4437</v>
      </c>
      <c r="F57" s="39">
        <v>5025</v>
      </c>
      <c r="J57" s="63"/>
      <c r="K57" s="63"/>
      <c r="L57" s="63"/>
      <c r="M57" s="63"/>
    </row>
    <row r="58" ht="15.75" spans="1:13">
      <c r="A58" s="23">
        <v>49</v>
      </c>
      <c r="B58" s="23" t="s">
        <v>495</v>
      </c>
      <c r="C58" s="39">
        <v>7002</v>
      </c>
      <c r="D58" s="39">
        <v>7554</v>
      </c>
      <c r="E58" s="39">
        <v>7830</v>
      </c>
      <c r="F58" s="39">
        <v>8658</v>
      </c>
      <c r="J58" s="63"/>
      <c r="K58" s="63"/>
      <c r="L58" s="63"/>
      <c r="M58" s="63"/>
    </row>
    <row r="59" ht="15.75" spans="1:13">
      <c r="A59" s="23">
        <v>50</v>
      </c>
      <c r="B59" s="23" t="s">
        <v>496</v>
      </c>
      <c r="C59" s="39">
        <v>4131</v>
      </c>
      <c r="D59" s="39">
        <v>4545</v>
      </c>
      <c r="E59" s="39">
        <v>4752</v>
      </c>
      <c r="F59" s="39">
        <v>5373</v>
      </c>
      <c r="J59" s="63"/>
      <c r="K59" s="63"/>
      <c r="L59" s="63"/>
      <c r="M59" s="63"/>
    </row>
    <row r="60" ht="15.75" spans="1:13">
      <c r="A60" s="23">
        <v>51</v>
      </c>
      <c r="B60" s="23" t="s">
        <v>497</v>
      </c>
      <c r="C60" s="39">
        <v>5779</v>
      </c>
      <c r="D60" s="39">
        <v>6337</v>
      </c>
      <c r="E60" s="39">
        <v>6616</v>
      </c>
      <c r="F60" s="39">
        <v>7453</v>
      </c>
      <c r="J60" s="63"/>
      <c r="K60" s="63"/>
      <c r="L60" s="63"/>
      <c r="M60" s="63"/>
    </row>
    <row r="61" ht="15.75" spans="1:13">
      <c r="A61" s="23">
        <v>52</v>
      </c>
      <c r="B61" s="23" t="s">
        <v>498</v>
      </c>
      <c r="C61" s="39">
        <v>4431</v>
      </c>
      <c r="D61" s="39">
        <v>4847</v>
      </c>
      <c r="E61" s="39">
        <v>5055</v>
      </c>
      <c r="F61" s="39">
        <v>5679</v>
      </c>
      <c r="J61" s="63"/>
      <c r="K61" s="63"/>
      <c r="L61" s="63"/>
      <c r="M61" s="63"/>
    </row>
    <row r="62" ht="15.75" spans="1:13">
      <c r="A62" s="23">
        <v>53</v>
      </c>
      <c r="B62" s="23" t="s">
        <v>499</v>
      </c>
      <c r="C62" s="39">
        <v>4385</v>
      </c>
      <c r="D62" s="39">
        <v>4857</v>
      </c>
      <c r="E62" s="39">
        <v>5093</v>
      </c>
      <c r="F62" s="39">
        <v>5801</v>
      </c>
      <c r="J62" s="63"/>
      <c r="K62" s="63"/>
      <c r="L62" s="63"/>
      <c r="M62" s="63"/>
    </row>
    <row r="63" ht="15.75" spans="1:13">
      <c r="A63" s="23">
        <v>54</v>
      </c>
      <c r="B63" s="23" t="s">
        <v>500</v>
      </c>
      <c r="C63" s="39">
        <v>5340</v>
      </c>
      <c r="D63" s="39">
        <v>5776</v>
      </c>
      <c r="E63" s="39">
        <v>5994</v>
      </c>
      <c r="F63" s="39">
        <v>6648</v>
      </c>
      <c r="J63" s="63"/>
      <c r="K63" s="63"/>
      <c r="L63" s="63"/>
      <c r="M63" s="63"/>
    </row>
    <row r="64" ht="15.75" spans="1:13">
      <c r="A64" s="23">
        <v>55</v>
      </c>
      <c r="B64" s="23" t="s">
        <v>501</v>
      </c>
      <c r="C64" s="39">
        <v>5508</v>
      </c>
      <c r="D64" s="39">
        <v>5944</v>
      </c>
      <c r="E64" s="39">
        <v>6162</v>
      </c>
      <c r="F64" s="39">
        <v>6816</v>
      </c>
      <c r="J64" s="63"/>
      <c r="K64" s="63"/>
      <c r="L64" s="63"/>
      <c r="M64" s="63"/>
    </row>
    <row r="65" ht="15.75" spans="1:13">
      <c r="A65" s="23">
        <v>56</v>
      </c>
      <c r="B65" s="23" t="s">
        <v>502</v>
      </c>
      <c r="C65" s="39">
        <v>4329</v>
      </c>
      <c r="D65" s="39">
        <v>4703</v>
      </c>
      <c r="E65" s="39">
        <v>4890</v>
      </c>
      <c r="F65" s="39">
        <v>5451</v>
      </c>
      <c r="J65" s="63"/>
      <c r="K65" s="63"/>
      <c r="L65" s="63"/>
      <c r="M65" s="63"/>
    </row>
    <row r="66" ht="15.75" spans="1:13">
      <c r="A66" s="23">
        <v>57</v>
      </c>
      <c r="B66" s="23" t="s">
        <v>503</v>
      </c>
      <c r="C66" s="39">
        <v>3762</v>
      </c>
      <c r="D66" s="39">
        <v>4152</v>
      </c>
      <c r="E66" s="39">
        <v>4347</v>
      </c>
      <c r="F66" s="39">
        <v>4932</v>
      </c>
      <c r="J66" s="63"/>
      <c r="K66" s="63"/>
      <c r="L66" s="63"/>
      <c r="M66" s="63"/>
    </row>
    <row r="67" ht="15.75" spans="1:13">
      <c r="A67" s="23">
        <v>58</v>
      </c>
      <c r="B67" s="23" t="s">
        <v>504</v>
      </c>
      <c r="C67" s="39">
        <v>4146</v>
      </c>
      <c r="D67" s="39">
        <v>4538</v>
      </c>
      <c r="E67" s="39">
        <v>4734</v>
      </c>
      <c r="F67" s="39">
        <v>5322</v>
      </c>
      <c r="J67" s="63"/>
      <c r="K67" s="63"/>
      <c r="L67" s="63"/>
      <c r="M67" s="63"/>
    </row>
    <row r="68" ht="15.75" spans="1:13">
      <c r="A68" s="23">
        <v>59</v>
      </c>
      <c r="B68" s="23" t="s">
        <v>505</v>
      </c>
      <c r="C68" s="39">
        <v>5179</v>
      </c>
      <c r="D68" s="39">
        <v>5633</v>
      </c>
      <c r="E68" s="39">
        <v>5860</v>
      </c>
      <c r="F68" s="39">
        <v>6541</v>
      </c>
      <c r="J68" s="63"/>
      <c r="K68" s="63"/>
      <c r="L68" s="63"/>
      <c r="M68" s="63"/>
    </row>
    <row r="69" ht="15.75" spans="1:13">
      <c r="A69" s="23">
        <v>60</v>
      </c>
      <c r="B69" s="23" t="s">
        <v>506</v>
      </c>
      <c r="C69" s="39">
        <v>3858</v>
      </c>
      <c r="D69" s="39">
        <v>4278</v>
      </c>
      <c r="E69" s="39">
        <v>4488</v>
      </c>
      <c r="F69" s="39">
        <v>5118</v>
      </c>
      <c r="J69" s="63"/>
      <c r="K69" s="63"/>
      <c r="L69" s="63"/>
      <c r="M69" s="63"/>
    </row>
    <row r="70" ht="15.75" spans="1:13">
      <c r="A70" s="23">
        <v>61</v>
      </c>
      <c r="B70" s="23" t="s">
        <v>507</v>
      </c>
      <c r="C70" s="39">
        <v>2539</v>
      </c>
      <c r="D70" s="39">
        <v>2845</v>
      </c>
      <c r="E70" s="39">
        <v>2998</v>
      </c>
      <c r="F70" s="39">
        <v>3457</v>
      </c>
      <c r="J70" s="63"/>
      <c r="K70" s="63"/>
      <c r="L70" s="63"/>
      <c r="M70" s="63"/>
    </row>
    <row r="71" ht="15.75" spans="1:13">
      <c r="A71" s="23">
        <v>62</v>
      </c>
      <c r="B71" s="23" t="s">
        <v>508</v>
      </c>
      <c r="C71" s="39">
        <v>4134</v>
      </c>
      <c r="D71" s="39">
        <v>4548</v>
      </c>
      <c r="E71" s="39">
        <v>4755</v>
      </c>
      <c r="F71" s="39">
        <v>5376</v>
      </c>
      <c r="J71" s="63"/>
      <c r="K71" s="63"/>
      <c r="L71" s="63"/>
      <c r="M71" s="63"/>
    </row>
    <row r="72" ht="15.75" spans="1:13">
      <c r="A72" s="23">
        <v>63</v>
      </c>
      <c r="B72" s="23" t="s">
        <v>509</v>
      </c>
      <c r="C72" s="39">
        <v>4156</v>
      </c>
      <c r="D72" s="39">
        <v>4530</v>
      </c>
      <c r="E72" s="39">
        <v>4717</v>
      </c>
      <c r="F72" s="39">
        <v>5278</v>
      </c>
      <c r="J72" s="63"/>
      <c r="K72" s="63"/>
      <c r="L72" s="63"/>
      <c r="M72" s="63"/>
    </row>
    <row r="73" ht="15.75" spans="1:13">
      <c r="A73" s="23">
        <v>64</v>
      </c>
      <c r="B73" s="23" t="s">
        <v>510</v>
      </c>
      <c r="C73" s="39">
        <v>3811</v>
      </c>
      <c r="D73" s="39">
        <v>4189</v>
      </c>
      <c r="E73" s="39">
        <v>4378</v>
      </c>
      <c r="F73" s="39">
        <v>4945</v>
      </c>
      <c r="J73" s="63"/>
      <c r="K73" s="63"/>
      <c r="L73" s="63"/>
      <c r="M73" s="63"/>
    </row>
    <row r="74" ht="15.75" spans="1:13">
      <c r="A74" s="23">
        <v>65</v>
      </c>
      <c r="B74" s="23" t="s">
        <v>511</v>
      </c>
      <c r="C74" s="39">
        <v>4482</v>
      </c>
      <c r="D74" s="39">
        <v>4906</v>
      </c>
      <c r="E74" s="39">
        <v>5118</v>
      </c>
      <c r="F74" s="39">
        <v>5754</v>
      </c>
      <c r="J74" s="63"/>
      <c r="K74" s="63"/>
      <c r="L74" s="63"/>
      <c r="M74" s="63"/>
    </row>
    <row r="75" ht="15.75" spans="1:13">
      <c r="A75" s="23">
        <v>66</v>
      </c>
      <c r="B75" s="23" t="s">
        <v>512</v>
      </c>
      <c r="C75" s="39">
        <v>4903</v>
      </c>
      <c r="D75" s="39">
        <v>5315</v>
      </c>
      <c r="E75" s="39">
        <v>5521</v>
      </c>
      <c r="F75" s="39">
        <v>6139</v>
      </c>
      <c r="J75" s="63"/>
      <c r="K75" s="63"/>
      <c r="L75" s="63"/>
      <c r="M75" s="63"/>
    </row>
    <row r="76" ht="15.75" spans="1:13">
      <c r="A76" s="23">
        <v>67</v>
      </c>
      <c r="B76" s="23" t="s">
        <v>513</v>
      </c>
      <c r="C76" s="39">
        <v>3944</v>
      </c>
      <c r="D76" s="39">
        <v>4358</v>
      </c>
      <c r="E76" s="39">
        <v>4565</v>
      </c>
      <c r="F76" s="39">
        <v>5186</v>
      </c>
      <c r="J76" s="63"/>
      <c r="K76" s="63"/>
      <c r="L76" s="63"/>
      <c r="M76" s="63"/>
    </row>
    <row r="77" ht="15.75" spans="1:13">
      <c r="A77" s="23">
        <v>68</v>
      </c>
      <c r="B77" s="23" t="s">
        <v>514</v>
      </c>
      <c r="C77" s="39">
        <v>3889</v>
      </c>
      <c r="D77" s="39">
        <v>4281</v>
      </c>
      <c r="E77" s="39">
        <v>4477</v>
      </c>
      <c r="F77" s="39">
        <v>5065</v>
      </c>
      <c r="J77" s="63"/>
      <c r="K77" s="63"/>
      <c r="L77" s="63"/>
      <c r="M77" s="63"/>
    </row>
    <row r="78" ht="15.75" spans="1:13">
      <c r="A78" s="23">
        <v>69</v>
      </c>
      <c r="B78" s="23" t="s">
        <v>515</v>
      </c>
      <c r="C78" s="39">
        <v>4202</v>
      </c>
      <c r="D78" s="39">
        <v>4616</v>
      </c>
      <c r="E78" s="39">
        <v>4823</v>
      </c>
      <c r="F78" s="39">
        <v>5444</v>
      </c>
      <c r="J78" s="63"/>
      <c r="K78" s="63"/>
      <c r="L78" s="63"/>
      <c r="M78" s="63"/>
    </row>
    <row r="79" ht="15.75" spans="1:13">
      <c r="A79" s="23">
        <v>70</v>
      </c>
      <c r="B79" s="23" t="s">
        <v>516</v>
      </c>
      <c r="C79" s="39">
        <v>5778</v>
      </c>
      <c r="D79" s="39">
        <v>6242</v>
      </c>
      <c r="E79" s="39">
        <v>6474</v>
      </c>
      <c r="F79" s="39">
        <v>7170</v>
      </c>
      <c r="J79" s="63"/>
      <c r="K79" s="63"/>
      <c r="L79" s="63"/>
      <c r="M79" s="63"/>
    </row>
    <row r="80" ht="15.75" spans="1:13">
      <c r="A80" s="23">
        <v>71</v>
      </c>
      <c r="B80" s="23" t="s">
        <v>517</v>
      </c>
      <c r="C80" s="39">
        <v>4048</v>
      </c>
      <c r="D80" s="39">
        <v>4464</v>
      </c>
      <c r="E80" s="39">
        <v>4672</v>
      </c>
      <c r="F80" s="39">
        <v>5296</v>
      </c>
      <c r="J80" s="63"/>
      <c r="K80" s="63"/>
      <c r="L80" s="63"/>
      <c r="M80" s="63"/>
    </row>
    <row r="81" ht="15.75" spans="1:13">
      <c r="A81" s="23">
        <v>72</v>
      </c>
      <c r="B81" s="23" t="s">
        <v>518</v>
      </c>
      <c r="C81" s="39">
        <v>5284</v>
      </c>
      <c r="D81" s="39">
        <v>5716</v>
      </c>
      <c r="E81" s="39">
        <v>5932</v>
      </c>
      <c r="F81" s="39">
        <v>6580</v>
      </c>
      <c r="J81" s="63"/>
      <c r="K81" s="63"/>
      <c r="L81" s="63"/>
      <c r="M81" s="63"/>
    </row>
    <row r="82" ht="15.75" spans="1:13">
      <c r="A82" s="23">
        <v>73</v>
      </c>
      <c r="B82" s="23" t="s">
        <v>519</v>
      </c>
      <c r="C82" s="39">
        <v>4579</v>
      </c>
      <c r="D82" s="39">
        <v>4997</v>
      </c>
      <c r="E82" s="39">
        <v>5206</v>
      </c>
      <c r="F82" s="39">
        <v>5833</v>
      </c>
      <c r="J82" s="63"/>
      <c r="K82" s="63"/>
      <c r="L82" s="63"/>
      <c r="M82" s="63"/>
    </row>
    <row r="83" ht="15.75" spans="1:13">
      <c r="A83" s="23">
        <v>74</v>
      </c>
      <c r="B83" s="23" t="s">
        <v>520</v>
      </c>
      <c r="C83" s="39">
        <v>4861</v>
      </c>
      <c r="D83" s="39">
        <v>5273</v>
      </c>
      <c r="E83" s="39">
        <v>5479</v>
      </c>
      <c r="F83" s="39">
        <v>6097</v>
      </c>
      <c r="J83" s="63"/>
      <c r="K83" s="63"/>
      <c r="L83" s="63"/>
      <c r="M83" s="63"/>
    </row>
    <row r="84" ht="15.75" spans="1:13">
      <c r="A84" s="23">
        <v>75</v>
      </c>
      <c r="B84" s="23" t="s">
        <v>521</v>
      </c>
      <c r="C84" s="39">
        <v>6088</v>
      </c>
      <c r="D84" s="39">
        <v>6548</v>
      </c>
      <c r="E84" s="39">
        <v>6778</v>
      </c>
      <c r="F84" s="39">
        <v>7468</v>
      </c>
      <c r="J84" s="63"/>
      <c r="K84" s="63"/>
      <c r="L84" s="63"/>
      <c r="M84" s="63"/>
    </row>
    <row r="85" ht="15.75" spans="1:13">
      <c r="A85" s="23">
        <v>76</v>
      </c>
      <c r="B85" s="23" t="s">
        <v>522</v>
      </c>
      <c r="C85" s="39">
        <v>4373</v>
      </c>
      <c r="D85" s="39">
        <v>4787</v>
      </c>
      <c r="E85" s="39">
        <v>4994</v>
      </c>
      <c r="F85" s="39">
        <v>5615</v>
      </c>
      <c r="J85" s="63"/>
      <c r="K85" s="63"/>
      <c r="L85" s="63"/>
      <c r="M85" s="63"/>
    </row>
    <row r="86" ht="15.75" spans="1:13">
      <c r="A86" s="23">
        <v>77</v>
      </c>
      <c r="B86" s="23" t="s">
        <v>523</v>
      </c>
      <c r="C86" s="39">
        <v>4131</v>
      </c>
      <c r="D86" s="39">
        <v>4545</v>
      </c>
      <c r="E86" s="39">
        <v>4752</v>
      </c>
      <c r="F86" s="39">
        <v>5373</v>
      </c>
      <c r="J86" s="63"/>
      <c r="K86" s="63"/>
      <c r="L86" s="63"/>
      <c r="M86" s="63"/>
    </row>
    <row r="87" ht="15.75" spans="1:13">
      <c r="A87" s="23">
        <v>78</v>
      </c>
      <c r="B87" s="23" t="s">
        <v>524</v>
      </c>
      <c r="C87" s="39">
        <v>3945</v>
      </c>
      <c r="D87" s="39">
        <v>4361</v>
      </c>
      <c r="E87" s="39">
        <v>4569</v>
      </c>
      <c r="F87" s="39">
        <v>5193</v>
      </c>
      <c r="J87" s="63"/>
      <c r="K87" s="63"/>
      <c r="L87" s="63"/>
      <c r="M87" s="63"/>
    </row>
    <row r="88" ht="15.75" spans="1:13">
      <c r="A88" s="23">
        <v>79</v>
      </c>
      <c r="B88" s="23" t="s">
        <v>525</v>
      </c>
      <c r="C88" s="39">
        <v>5715</v>
      </c>
      <c r="D88" s="39">
        <v>6157</v>
      </c>
      <c r="E88" s="39">
        <v>6378</v>
      </c>
      <c r="F88" s="39">
        <v>7041</v>
      </c>
      <c r="J88" s="63"/>
      <c r="K88" s="63"/>
      <c r="L88" s="63"/>
      <c r="M88" s="63"/>
    </row>
    <row r="89" ht="15.75" spans="1:13">
      <c r="A89" s="23">
        <v>83</v>
      </c>
      <c r="B89" s="23" t="s">
        <v>526</v>
      </c>
      <c r="C89" s="39">
        <v>6966</v>
      </c>
      <c r="D89" s="39">
        <v>7490</v>
      </c>
      <c r="E89" s="39">
        <v>7752</v>
      </c>
      <c r="F89" s="39">
        <v>8538</v>
      </c>
      <c r="J89" s="63"/>
      <c r="K89" s="63"/>
      <c r="L89" s="63"/>
      <c r="M89" s="63"/>
    </row>
    <row r="90" ht="15.75" spans="1:13">
      <c r="A90" s="23">
        <v>86</v>
      </c>
      <c r="B90" s="23" t="s">
        <v>527</v>
      </c>
      <c r="C90" s="39">
        <v>6460</v>
      </c>
      <c r="D90" s="39">
        <v>6926</v>
      </c>
      <c r="E90" s="39">
        <v>7159</v>
      </c>
      <c r="F90" s="39">
        <v>7858</v>
      </c>
      <c r="J90" s="63"/>
      <c r="K90" s="63"/>
      <c r="L90" s="63"/>
      <c r="M90" s="63"/>
    </row>
    <row r="91" ht="15.75" spans="1:13">
      <c r="A91" s="23">
        <v>87</v>
      </c>
      <c r="B91" s="23" t="s">
        <v>528</v>
      </c>
      <c r="C91" s="39">
        <v>8548</v>
      </c>
      <c r="D91" s="39">
        <v>9124</v>
      </c>
      <c r="E91" s="39">
        <v>9412</v>
      </c>
      <c r="F91" s="39">
        <v>10276</v>
      </c>
      <c r="J91" s="63"/>
      <c r="K91" s="63"/>
      <c r="L91" s="63"/>
      <c r="M91" s="63"/>
    </row>
    <row r="92" ht="15.75" spans="1:13">
      <c r="A92" s="23">
        <v>89</v>
      </c>
      <c r="B92" s="23" t="s">
        <v>529</v>
      </c>
      <c r="C92" s="39">
        <v>8167</v>
      </c>
      <c r="D92" s="39">
        <v>8719</v>
      </c>
      <c r="E92" s="39">
        <v>8995</v>
      </c>
      <c r="F92" s="39">
        <v>9823</v>
      </c>
      <c r="J92" s="63"/>
      <c r="K92" s="63"/>
      <c r="L92" s="63"/>
      <c r="M92" s="63"/>
    </row>
    <row r="93" ht="15.75" spans="1:13">
      <c r="A93" s="23">
        <v>91</v>
      </c>
      <c r="B93" s="23" t="s">
        <v>530</v>
      </c>
      <c r="C93" s="39">
        <v>2091</v>
      </c>
      <c r="D93" s="39">
        <v>2409</v>
      </c>
      <c r="E93" s="39">
        <v>2568</v>
      </c>
      <c r="F93" s="39">
        <v>3045</v>
      </c>
      <c r="J93" s="63"/>
      <c r="K93" s="63"/>
      <c r="L93" s="63"/>
      <c r="M93" s="63"/>
    </row>
    <row r="94" ht="15.75" spans="1:13">
      <c r="A94" s="23">
        <v>92</v>
      </c>
      <c r="B94" s="23" t="s">
        <v>531</v>
      </c>
      <c r="C94" s="39">
        <v>1425</v>
      </c>
      <c r="D94" s="39">
        <v>1661</v>
      </c>
      <c r="E94" s="39">
        <v>1779</v>
      </c>
      <c r="F94" s="39">
        <v>2133</v>
      </c>
      <c r="J94" s="63"/>
      <c r="K94" s="63"/>
      <c r="L94" s="63"/>
      <c r="M94" s="63"/>
    </row>
  </sheetData>
  <mergeCells count="4">
    <mergeCell ref="C4:F4"/>
    <mergeCell ref="A4:A5"/>
    <mergeCell ref="A19:A21"/>
    <mergeCell ref="A31:A33"/>
  </mergeCells>
  <pageMargins left="0.75" right="0.75" top="1" bottom="1" header="0.5" footer="0.5"/>
  <pageSetup paperSize="9" orientation="portrait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4"/>
  <sheetViews>
    <sheetView workbookViewId="0">
      <selection activeCell="C6" sqref="C6:F94"/>
    </sheetView>
  </sheetViews>
  <sheetFormatPr defaultColWidth="9" defaultRowHeight="15" outlineLevelCol="5"/>
  <sheetData>
    <row r="1" spans="1:6">
      <c r="A1" s="41" t="s">
        <v>534</v>
      </c>
      <c r="B1" s="42"/>
      <c r="C1" s="42"/>
      <c r="D1" s="42"/>
      <c r="E1" s="42"/>
      <c r="F1" s="42"/>
    </row>
    <row r="2" spans="1:6">
      <c r="A2" s="43"/>
      <c r="B2" s="43"/>
      <c r="C2" s="43"/>
      <c r="D2" s="43"/>
      <c r="E2" s="43"/>
      <c r="F2" s="43"/>
    </row>
    <row r="3" spans="1:6">
      <c r="A3" s="43"/>
      <c r="B3" s="43">
        <f>VLOOKUP('1.Общие данные по зданию'!C7,Климатология2022!B6:F94,IF('1.Общие данные по зданию'!C17=18,2,IF('1.Общие данные по зданию'!C17=20,3,IF('1.Общие данные по зданию'!C17=21,4,5))),0)</f>
        <v>2655</v>
      </c>
      <c r="C3" s="43"/>
      <c r="D3" s="43"/>
      <c r="E3" s="43"/>
      <c r="F3" s="43"/>
    </row>
    <row r="4" ht="15.75" spans="1:6">
      <c r="A4" s="44"/>
      <c r="B4" s="44"/>
      <c r="C4" s="45" t="s">
        <v>439</v>
      </c>
      <c r="D4" s="45"/>
      <c r="E4" s="45"/>
      <c r="F4" s="45"/>
    </row>
    <row r="5" ht="18.75" spans="1:6">
      <c r="A5" s="44"/>
      <c r="B5" s="44" t="s">
        <v>42</v>
      </c>
      <c r="C5" s="39" t="s">
        <v>440</v>
      </c>
      <c r="D5" s="39" t="s">
        <v>441</v>
      </c>
      <c r="E5" s="39" t="s">
        <v>442</v>
      </c>
      <c r="F5" s="39" t="s">
        <v>443</v>
      </c>
    </row>
    <row r="6" ht="16.5" spans="1:6">
      <c r="A6" s="23">
        <v>1</v>
      </c>
      <c r="B6" s="23" t="s">
        <v>444</v>
      </c>
      <c r="C6" s="49">
        <v>2268</v>
      </c>
      <c r="D6" s="50">
        <v>2634</v>
      </c>
      <c r="E6" s="50">
        <v>2817</v>
      </c>
      <c r="F6" s="50">
        <v>3366</v>
      </c>
    </row>
    <row r="7" ht="16.5" spans="1:6">
      <c r="A7" s="23">
        <v>2</v>
      </c>
      <c r="B7" s="23" t="s">
        <v>445</v>
      </c>
      <c r="C7" s="51">
        <v>4563</v>
      </c>
      <c r="D7" s="52">
        <v>4987</v>
      </c>
      <c r="E7" s="52">
        <v>5199</v>
      </c>
      <c r="F7" s="52">
        <v>5835</v>
      </c>
    </row>
    <row r="8" ht="16.5" spans="1:6">
      <c r="A8" s="23">
        <v>3</v>
      </c>
      <c r="B8" s="23" t="s">
        <v>446</v>
      </c>
      <c r="C8" s="51">
        <v>6343</v>
      </c>
      <c r="D8" s="52">
        <v>6855</v>
      </c>
      <c r="E8" s="52">
        <v>7111</v>
      </c>
      <c r="F8" s="52">
        <v>7879</v>
      </c>
    </row>
    <row r="9" ht="16.5" spans="1:6">
      <c r="A9" s="23">
        <v>4</v>
      </c>
      <c r="B9" s="23" t="s">
        <v>447</v>
      </c>
      <c r="C9" s="51">
        <v>5336</v>
      </c>
      <c r="D9" s="52">
        <v>5780</v>
      </c>
      <c r="E9" s="52">
        <v>6002</v>
      </c>
      <c r="F9" s="52">
        <v>6668</v>
      </c>
    </row>
    <row r="10" ht="16.5" spans="1:6">
      <c r="A10" s="23">
        <v>5</v>
      </c>
      <c r="B10" s="23" t="s">
        <v>448</v>
      </c>
      <c r="C10" s="51">
        <v>2306</v>
      </c>
      <c r="D10" s="52">
        <v>2668</v>
      </c>
      <c r="E10" s="52">
        <v>2849</v>
      </c>
      <c r="F10" s="52">
        <v>3392</v>
      </c>
    </row>
    <row r="11" ht="16.5" spans="1:6">
      <c r="A11" s="23">
        <v>6</v>
      </c>
      <c r="B11" s="23" t="s">
        <v>449</v>
      </c>
      <c r="C11" s="51">
        <v>2851</v>
      </c>
      <c r="D11" s="52">
        <v>3243</v>
      </c>
      <c r="E11" s="52">
        <v>3439</v>
      </c>
      <c r="F11" s="52">
        <v>4027</v>
      </c>
    </row>
    <row r="12" ht="16.5" spans="1:6">
      <c r="A12" s="23">
        <v>7</v>
      </c>
      <c r="B12" s="23" t="s">
        <v>450</v>
      </c>
      <c r="C12" s="51">
        <v>2684</v>
      </c>
      <c r="D12" s="52">
        <v>3060</v>
      </c>
      <c r="E12" s="52">
        <v>3248</v>
      </c>
      <c r="F12" s="52">
        <v>3812</v>
      </c>
    </row>
    <row r="13" ht="16.5" spans="1:6">
      <c r="A13" s="23">
        <v>8</v>
      </c>
      <c r="B13" s="23" t="s">
        <v>451</v>
      </c>
      <c r="C13" s="51">
        <v>2847</v>
      </c>
      <c r="D13" s="52">
        <v>3209</v>
      </c>
      <c r="E13" s="52">
        <v>3390</v>
      </c>
      <c r="F13" s="52">
        <v>3933</v>
      </c>
    </row>
    <row r="14" ht="16.5" spans="1:6">
      <c r="A14" s="23">
        <v>9</v>
      </c>
      <c r="B14" s="23" t="s">
        <v>452</v>
      </c>
      <c r="C14" s="51">
        <v>2711</v>
      </c>
      <c r="D14" s="52">
        <v>3079</v>
      </c>
      <c r="E14" s="52">
        <v>3263</v>
      </c>
      <c r="F14" s="52">
        <v>3815</v>
      </c>
    </row>
    <row r="15" ht="16.5" spans="1:6">
      <c r="A15" s="23">
        <v>10</v>
      </c>
      <c r="B15" s="23" t="s">
        <v>453</v>
      </c>
      <c r="C15" s="51">
        <v>4732</v>
      </c>
      <c r="D15" s="52">
        <v>5270</v>
      </c>
      <c r="E15" s="52">
        <v>5539</v>
      </c>
      <c r="F15" s="52">
        <v>6346</v>
      </c>
    </row>
    <row r="16" ht="16.5" spans="1:6">
      <c r="A16" s="23">
        <v>11</v>
      </c>
      <c r="B16" s="23" t="s">
        <v>454</v>
      </c>
      <c r="C16" s="51">
        <v>5987</v>
      </c>
      <c r="D16" s="52">
        <v>6523</v>
      </c>
      <c r="E16" s="52">
        <v>6791</v>
      </c>
      <c r="F16" s="52">
        <v>7595</v>
      </c>
    </row>
    <row r="17" ht="16.5" spans="1:6">
      <c r="A17" s="23">
        <v>12</v>
      </c>
      <c r="B17" s="23" t="s">
        <v>455</v>
      </c>
      <c r="C17" s="51">
        <v>4532</v>
      </c>
      <c r="D17" s="52">
        <v>4990</v>
      </c>
      <c r="E17" s="52">
        <v>5219</v>
      </c>
      <c r="F17" s="52">
        <v>5906</v>
      </c>
    </row>
    <row r="18" ht="16.5" spans="1:6">
      <c r="A18" s="23">
        <v>13</v>
      </c>
      <c r="B18" s="23" t="s">
        <v>456</v>
      </c>
      <c r="C18" s="51">
        <v>4482</v>
      </c>
      <c r="D18" s="52">
        <v>4998</v>
      </c>
      <c r="E18" s="52">
        <v>5256</v>
      </c>
      <c r="F18" s="52">
        <v>6030</v>
      </c>
    </row>
    <row r="19" ht="16.5" spans="1:6">
      <c r="A19" s="23">
        <v>14</v>
      </c>
      <c r="B19" s="23" t="s">
        <v>457</v>
      </c>
      <c r="C19" s="51">
        <v>9090</v>
      </c>
      <c r="D19" s="52">
        <v>9614</v>
      </c>
      <c r="E19" s="52">
        <v>9876</v>
      </c>
      <c r="F19" s="52">
        <v>10662</v>
      </c>
    </row>
    <row r="20" ht="16.5" spans="1:6">
      <c r="A20" s="23"/>
      <c r="B20" s="23" t="s">
        <v>458</v>
      </c>
      <c r="C20" s="51">
        <v>9767</v>
      </c>
      <c r="D20" s="52">
        <v>10323</v>
      </c>
      <c r="E20" s="52">
        <v>10601</v>
      </c>
      <c r="F20" s="52">
        <v>11435</v>
      </c>
    </row>
    <row r="21" ht="16.5" spans="1:6">
      <c r="A21" s="23"/>
      <c r="B21" s="23" t="s">
        <v>459</v>
      </c>
      <c r="C21" s="51">
        <v>10441</v>
      </c>
      <c r="D21" s="52">
        <v>11149</v>
      </c>
      <c r="E21" s="52">
        <v>11503</v>
      </c>
      <c r="F21" s="52">
        <v>12565</v>
      </c>
    </row>
    <row r="22" ht="16.5" spans="1:6">
      <c r="A22" s="23">
        <v>15</v>
      </c>
      <c r="B22" s="23" t="s">
        <v>460</v>
      </c>
      <c r="C22" s="51">
        <v>2697</v>
      </c>
      <c r="D22" s="52">
        <v>3061</v>
      </c>
      <c r="E22" s="52">
        <v>3243</v>
      </c>
      <c r="F22" s="52">
        <v>3789</v>
      </c>
    </row>
    <row r="23" ht="16.5" spans="1:6">
      <c r="A23" s="23">
        <v>16</v>
      </c>
      <c r="B23" s="23" t="s">
        <v>461</v>
      </c>
      <c r="C23" s="51">
        <v>4326</v>
      </c>
      <c r="D23" s="52">
        <v>4768</v>
      </c>
      <c r="E23" s="52">
        <v>4989</v>
      </c>
      <c r="F23" s="52">
        <v>5652</v>
      </c>
    </row>
    <row r="24" ht="16.5" spans="1:6">
      <c r="A24" s="23">
        <v>17</v>
      </c>
      <c r="B24" s="23" t="s">
        <v>462</v>
      </c>
      <c r="C24" s="51">
        <v>6851</v>
      </c>
      <c r="D24" s="52">
        <v>7339</v>
      </c>
      <c r="E24" s="52">
        <v>7583</v>
      </c>
      <c r="F24" s="52">
        <v>8315</v>
      </c>
    </row>
    <row r="25" ht="16.5" spans="1:6">
      <c r="A25" s="23">
        <v>18</v>
      </c>
      <c r="B25" s="23" t="s">
        <v>463</v>
      </c>
      <c r="C25" s="51">
        <v>4965</v>
      </c>
      <c r="D25" s="52">
        <v>5459</v>
      </c>
      <c r="E25" s="52">
        <v>5706</v>
      </c>
      <c r="F25" s="52">
        <v>6447</v>
      </c>
    </row>
    <row r="26" ht="16.5" spans="1:6">
      <c r="A26" s="23">
        <v>19</v>
      </c>
      <c r="B26" s="23" t="s">
        <v>464</v>
      </c>
      <c r="C26" s="51">
        <v>5847</v>
      </c>
      <c r="D26" s="52">
        <v>6321</v>
      </c>
      <c r="E26" s="52">
        <v>6558</v>
      </c>
      <c r="F26" s="52">
        <v>7269</v>
      </c>
    </row>
    <row r="27" ht="16.5" spans="1:6">
      <c r="A27" s="23">
        <v>20</v>
      </c>
      <c r="B27" s="23" t="s">
        <v>465</v>
      </c>
      <c r="C27" s="51">
        <v>2653</v>
      </c>
      <c r="D27" s="52">
        <v>3027</v>
      </c>
      <c r="E27" s="52">
        <v>3214</v>
      </c>
      <c r="F27" s="52">
        <v>3775</v>
      </c>
    </row>
    <row r="28" ht="16.5" spans="1:6">
      <c r="A28" s="23">
        <v>21</v>
      </c>
      <c r="B28" s="23" t="s">
        <v>466</v>
      </c>
      <c r="C28" s="51">
        <v>4466</v>
      </c>
      <c r="D28" s="52">
        <v>4908</v>
      </c>
      <c r="E28" s="52">
        <v>5129</v>
      </c>
      <c r="F28" s="52">
        <v>5792</v>
      </c>
    </row>
    <row r="29" ht="16.5" spans="1:6">
      <c r="A29" s="23">
        <v>22</v>
      </c>
      <c r="B29" s="23" t="s">
        <v>467</v>
      </c>
      <c r="C29" s="51">
        <v>5173</v>
      </c>
      <c r="D29" s="52">
        <v>5623</v>
      </c>
      <c r="E29" s="52">
        <v>5848</v>
      </c>
      <c r="F29" s="52">
        <v>6523</v>
      </c>
    </row>
    <row r="30" ht="16.5" spans="1:6">
      <c r="A30" s="23">
        <v>23</v>
      </c>
      <c r="B30" s="23" t="s">
        <v>116</v>
      </c>
      <c r="C30" s="51">
        <v>2283</v>
      </c>
      <c r="D30" s="52">
        <v>2655</v>
      </c>
      <c r="E30" s="52">
        <v>2841</v>
      </c>
      <c r="F30" s="52">
        <v>3399</v>
      </c>
    </row>
    <row r="31" ht="16.5" spans="1:6">
      <c r="A31" s="23">
        <v>24</v>
      </c>
      <c r="B31" s="23" t="s">
        <v>468</v>
      </c>
      <c r="C31" s="51">
        <v>5634</v>
      </c>
      <c r="D31" s="52">
        <v>6114</v>
      </c>
      <c r="E31" s="52">
        <v>6354</v>
      </c>
      <c r="F31" s="52">
        <v>7074</v>
      </c>
    </row>
    <row r="32" ht="16.5" spans="1:6">
      <c r="A32" s="23"/>
      <c r="B32" s="23" t="s">
        <v>469</v>
      </c>
      <c r="C32" s="51">
        <v>8402</v>
      </c>
      <c r="D32" s="52">
        <v>8950</v>
      </c>
      <c r="E32" s="52">
        <v>9224</v>
      </c>
      <c r="F32" s="52">
        <v>10046</v>
      </c>
    </row>
    <row r="33" ht="16.5" spans="1:6">
      <c r="A33" s="23"/>
      <c r="B33" s="23" t="s">
        <v>470</v>
      </c>
      <c r="C33" s="51">
        <v>8235</v>
      </c>
      <c r="D33" s="52">
        <v>8813</v>
      </c>
      <c r="E33" s="52">
        <v>9102</v>
      </c>
      <c r="F33" s="52">
        <v>9969</v>
      </c>
    </row>
    <row r="34" ht="16.5" spans="1:6">
      <c r="A34" s="23">
        <v>25</v>
      </c>
      <c r="B34" s="23" t="s">
        <v>471</v>
      </c>
      <c r="C34" s="51">
        <v>4043</v>
      </c>
      <c r="D34" s="52">
        <v>4427</v>
      </c>
      <c r="E34" s="52">
        <v>4619</v>
      </c>
      <c r="F34" s="52">
        <v>5195</v>
      </c>
    </row>
    <row r="35" ht="16.5" spans="1:6">
      <c r="A35" s="23">
        <v>26</v>
      </c>
      <c r="B35" s="23" t="s">
        <v>472</v>
      </c>
      <c r="C35" s="51">
        <v>2569</v>
      </c>
      <c r="D35" s="52">
        <v>2951</v>
      </c>
      <c r="E35" s="52">
        <v>3142</v>
      </c>
      <c r="F35" s="52">
        <v>3715</v>
      </c>
    </row>
    <row r="36" ht="16.5" spans="1:6">
      <c r="A36" s="23">
        <v>27</v>
      </c>
      <c r="B36" s="23" t="s">
        <v>473</v>
      </c>
      <c r="C36" s="51">
        <v>5230</v>
      </c>
      <c r="D36" s="52">
        <v>5670</v>
      </c>
      <c r="E36" s="52">
        <v>5890</v>
      </c>
      <c r="F36" s="52">
        <v>6550</v>
      </c>
    </row>
    <row r="37" ht="16.5" spans="1:6">
      <c r="A37" s="23">
        <v>28</v>
      </c>
      <c r="B37" s="23" t="s">
        <v>474</v>
      </c>
      <c r="C37" s="51">
        <v>5640</v>
      </c>
      <c r="D37" s="52">
        <v>6082</v>
      </c>
      <c r="E37" s="52">
        <v>6303</v>
      </c>
      <c r="F37" s="52">
        <v>6966</v>
      </c>
    </row>
    <row r="38" ht="16.5" spans="1:6">
      <c r="A38" s="23">
        <v>29</v>
      </c>
      <c r="B38" s="23" t="s">
        <v>475</v>
      </c>
      <c r="C38" s="51">
        <v>5095</v>
      </c>
      <c r="D38" s="52">
        <v>5601</v>
      </c>
      <c r="E38" s="52">
        <v>5854</v>
      </c>
      <c r="F38" s="52">
        <v>6613</v>
      </c>
    </row>
    <row r="39" ht="16.5" spans="1:6">
      <c r="A39" s="23">
        <v>30</v>
      </c>
      <c r="B39" s="23" t="s">
        <v>476</v>
      </c>
      <c r="C39" s="51">
        <v>2708</v>
      </c>
      <c r="D39" s="52">
        <v>3036</v>
      </c>
      <c r="E39" s="52">
        <v>3200</v>
      </c>
      <c r="F39" s="52">
        <v>3692</v>
      </c>
    </row>
    <row r="40" ht="16.5" spans="1:6">
      <c r="A40" s="23">
        <v>31</v>
      </c>
      <c r="B40" s="23" t="s">
        <v>477</v>
      </c>
      <c r="C40" s="51">
        <v>3472</v>
      </c>
      <c r="D40" s="52">
        <v>3918</v>
      </c>
      <c r="E40" s="52">
        <v>4141</v>
      </c>
      <c r="F40" s="52">
        <v>4810</v>
      </c>
    </row>
    <row r="41" ht="16.5" spans="1:6">
      <c r="A41" s="23">
        <v>32</v>
      </c>
      <c r="B41" s="23" t="s">
        <v>478</v>
      </c>
      <c r="C41" s="51">
        <v>3925</v>
      </c>
      <c r="D41" s="52">
        <v>4407</v>
      </c>
      <c r="E41" s="52">
        <v>4648</v>
      </c>
      <c r="F41" s="52">
        <v>5371</v>
      </c>
    </row>
    <row r="42" ht="16.5" spans="1:6">
      <c r="A42" s="23">
        <v>33</v>
      </c>
      <c r="B42" s="23" t="s">
        <v>479</v>
      </c>
      <c r="C42" s="51">
        <v>4099</v>
      </c>
      <c r="D42" s="52">
        <v>4587</v>
      </c>
      <c r="E42" s="52">
        <v>4831</v>
      </c>
      <c r="F42" s="52">
        <v>5563</v>
      </c>
    </row>
    <row r="43" ht="16.5" spans="1:6">
      <c r="A43" s="23">
        <v>34</v>
      </c>
      <c r="B43" s="23" t="s">
        <v>480</v>
      </c>
      <c r="C43" s="51">
        <v>3241</v>
      </c>
      <c r="D43" s="52">
        <v>3605</v>
      </c>
      <c r="E43" s="52">
        <v>3787</v>
      </c>
      <c r="F43" s="52">
        <v>4333</v>
      </c>
    </row>
    <row r="44" ht="16.5" spans="1:6">
      <c r="A44" s="23">
        <v>35</v>
      </c>
      <c r="B44" s="23" t="s">
        <v>481</v>
      </c>
      <c r="C44" s="51">
        <v>4793</v>
      </c>
      <c r="D44" s="52">
        <v>5325</v>
      </c>
      <c r="E44" s="52">
        <v>5591</v>
      </c>
      <c r="F44" s="52">
        <v>6389</v>
      </c>
    </row>
    <row r="45" ht="16.5" spans="1:6">
      <c r="A45" s="23">
        <v>36</v>
      </c>
      <c r="B45" s="23" t="s">
        <v>482</v>
      </c>
      <c r="C45" s="51">
        <v>3458</v>
      </c>
      <c r="D45" s="52">
        <v>3844</v>
      </c>
      <c r="E45" s="52">
        <v>4037</v>
      </c>
      <c r="F45" s="52">
        <v>4616</v>
      </c>
    </row>
    <row r="46" ht="16.5" spans="1:6">
      <c r="A46" s="23">
        <v>37</v>
      </c>
      <c r="B46" s="23" t="s">
        <v>483</v>
      </c>
      <c r="C46" s="51">
        <v>4400</v>
      </c>
      <c r="D46" s="52">
        <v>4878</v>
      </c>
      <c r="E46" s="52">
        <v>5117</v>
      </c>
      <c r="F46" s="52">
        <v>5834</v>
      </c>
    </row>
    <row r="47" ht="16.5" spans="1:6">
      <c r="A47" s="23">
        <v>38</v>
      </c>
      <c r="B47" s="23" t="s">
        <v>484</v>
      </c>
      <c r="C47" s="51">
        <v>5625</v>
      </c>
      <c r="D47" s="52">
        <v>6115</v>
      </c>
      <c r="E47" s="52">
        <v>6360</v>
      </c>
      <c r="F47" s="52">
        <v>7095</v>
      </c>
    </row>
    <row r="48" ht="16.5" spans="1:6">
      <c r="A48" s="23">
        <v>39</v>
      </c>
      <c r="B48" s="23" t="s">
        <v>485</v>
      </c>
      <c r="C48" s="51">
        <v>2864</v>
      </c>
      <c r="D48" s="52">
        <v>3270</v>
      </c>
      <c r="E48" s="52">
        <v>3473</v>
      </c>
      <c r="F48" s="52">
        <v>4082</v>
      </c>
    </row>
    <row r="49" ht="16.5" spans="1:6">
      <c r="A49" s="23">
        <v>40</v>
      </c>
      <c r="B49" s="23" t="s">
        <v>486</v>
      </c>
      <c r="C49" s="51">
        <v>4015</v>
      </c>
      <c r="D49" s="52">
        <v>4485</v>
      </c>
      <c r="E49" s="52">
        <v>4720</v>
      </c>
      <c r="F49" s="52">
        <v>5425</v>
      </c>
    </row>
    <row r="50" ht="16.5" spans="1:6">
      <c r="A50" s="23">
        <v>41</v>
      </c>
      <c r="B50" s="23" t="s">
        <v>487</v>
      </c>
      <c r="C50" s="51">
        <v>4854</v>
      </c>
      <c r="D50" s="52">
        <v>5388</v>
      </c>
      <c r="E50" s="52">
        <v>5655</v>
      </c>
      <c r="F50" s="52">
        <v>6456</v>
      </c>
    </row>
    <row r="51" ht="16.5" spans="1:6">
      <c r="A51" s="23">
        <v>42</v>
      </c>
      <c r="B51" s="23" t="s">
        <v>488</v>
      </c>
      <c r="C51" s="51">
        <v>5670</v>
      </c>
      <c r="D51" s="52">
        <v>6152</v>
      </c>
      <c r="E51" s="52">
        <v>6393</v>
      </c>
      <c r="F51" s="52">
        <v>7116</v>
      </c>
    </row>
    <row r="52" ht="16.5" spans="1:6">
      <c r="A52" s="23">
        <v>43</v>
      </c>
      <c r="B52" s="23" t="s">
        <v>489</v>
      </c>
      <c r="C52" s="51">
        <v>4757</v>
      </c>
      <c r="D52" s="52">
        <v>5269</v>
      </c>
      <c r="E52" s="52">
        <v>5525</v>
      </c>
      <c r="F52" s="52">
        <v>6293</v>
      </c>
    </row>
    <row r="53" ht="16.5" spans="1:6">
      <c r="A53" s="23">
        <v>44</v>
      </c>
      <c r="B53" s="23" t="s">
        <v>490</v>
      </c>
      <c r="C53" s="51">
        <v>4374</v>
      </c>
      <c r="D53" s="52">
        <v>4852</v>
      </c>
      <c r="E53" s="52">
        <v>5091</v>
      </c>
      <c r="F53" s="52">
        <v>5808</v>
      </c>
    </row>
    <row r="54" ht="16.5" spans="1:6">
      <c r="A54" s="23">
        <v>45</v>
      </c>
      <c r="B54" s="23" t="s">
        <v>491</v>
      </c>
      <c r="C54" s="51">
        <v>5171</v>
      </c>
      <c r="D54" s="52">
        <v>5623</v>
      </c>
      <c r="E54" s="52">
        <v>5849</v>
      </c>
      <c r="F54" s="52">
        <v>6527</v>
      </c>
    </row>
    <row r="55" ht="16.5" spans="1:6">
      <c r="A55" s="23">
        <v>46</v>
      </c>
      <c r="B55" s="23" t="s">
        <v>492</v>
      </c>
      <c r="C55" s="51">
        <v>3498</v>
      </c>
      <c r="D55" s="52">
        <v>3908</v>
      </c>
      <c r="E55" s="52">
        <v>4113</v>
      </c>
      <c r="F55" s="52">
        <v>4728</v>
      </c>
    </row>
    <row r="56" ht="16.5" spans="1:6">
      <c r="A56" s="23">
        <v>47</v>
      </c>
      <c r="B56" s="23" t="s">
        <v>493</v>
      </c>
      <c r="C56" s="51">
        <v>3970</v>
      </c>
      <c r="D56" s="52">
        <v>4436</v>
      </c>
      <c r="E56" s="52">
        <v>4669</v>
      </c>
      <c r="F56" s="52">
        <v>5368</v>
      </c>
    </row>
    <row r="57" ht="16.5" spans="1:6">
      <c r="A57" s="23">
        <v>48</v>
      </c>
      <c r="B57" s="23" t="s">
        <v>494</v>
      </c>
      <c r="C57" s="51">
        <v>3652</v>
      </c>
      <c r="D57" s="52">
        <v>4038</v>
      </c>
      <c r="E57" s="52">
        <v>4231</v>
      </c>
      <c r="F57" s="52">
        <v>4810</v>
      </c>
    </row>
    <row r="58" ht="16.5" spans="1:6">
      <c r="A58" s="23">
        <v>49</v>
      </c>
      <c r="B58" s="23" t="s">
        <v>495</v>
      </c>
      <c r="C58" s="51">
        <v>6755</v>
      </c>
      <c r="D58" s="52">
        <v>7347</v>
      </c>
      <c r="E58" s="52">
        <v>7643</v>
      </c>
      <c r="F58" s="52">
        <v>8531</v>
      </c>
    </row>
    <row r="59" ht="16.5" spans="1:6">
      <c r="A59" s="23">
        <v>50</v>
      </c>
      <c r="B59" s="23" t="s">
        <v>496</v>
      </c>
      <c r="C59" s="51">
        <v>4019</v>
      </c>
      <c r="D59" s="52">
        <v>4467</v>
      </c>
      <c r="E59" s="52">
        <v>4691</v>
      </c>
      <c r="F59" s="52">
        <v>5363</v>
      </c>
    </row>
    <row r="60" ht="16.5" spans="1:6">
      <c r="A60" s="23">
        <v>51</v>
      </c>
      <c r="B60" s="23" t="s">
        <v>497</v>
      </c>
      <c r="C60" s="51">
        <v>5278</v>
      </c>
      <c r="D60" s="52">
        <v>5824</v>
      </c>
      <c r="E60" s="52">
        <v>6097</v>
      </c>
      <c r="F60" s="52">
        <v>6916</v>
      </c>
    </row>
    <row r="61" ht="16.5" spans="1:6">
      <c r="A61" s="23">
        <v>52</v>
      </c>
      <c r="B61" s="23" t="s">
        <v>498</v>
      </c>
      <c r="C61" s="51">
        <v>4313</v>
      </c>
      <c r="D61" s="52">
        <v>4785</v>
      </c>
      <c r="E61" s="52">
        <v>5021</v>
      </c>
      <c r="F61" s="52">
        <v>5729</v>
      </c>
    </row>
    <row r="62" ht="16.5" spans="1:6">
      <c r="A62" s="23">
        <v>53</v>
      </c>
      <c r="B62" s="23" t="s">
        <v>499</v>
      </c>
      <c r="C62" s="51">
        <v>4211</v>
      </c>
      <c r="D62" s="52">
        <v>4715</v>
      </c>
      <c r="E62" s="52">
        <v>4967</v>
      </c>
      <c r="F62" s="52">
        <v>5723</v>
      </c>
    </row>
    <row r="63" ht="16.5" spans="1:6">
      <c r="A63" s="23">
        <v>54</v>
      </c>
      <c r="B63" s="23" t="s">
        <v>500</v>
      </c>
      <c r="C63" s="51">
        <v>5331</v>
      </c>
      <c r="D63" s="52">
        <v>5809</v>
      </c>
      <c r="E63" s="52">
        <v>6048</v>
      </c>
      <c r="F63" s="52">
        <v>6765</v>
      </c>
    </row>
    <row r="64" ht="16.5" spans="1:6">
      <c r="A64" s="23">
        <v>55</v>
      </c>
      <c r="B64" s="23" t="s">
        <v>501</v>
      </c>
      <c r="C64" s="51">
        <v>5426</v>
      </c>
      <c r="D64" s="52">
        <v>5884</v>
      </c>
      <c r="E64" s="52">
        <v>6113</v>
      </c>
      <c r="F64" s="52">
        <v>6800</v>
      </c>
    </row>
    <row r="65" ht="16.5" spans="1:6">
      <c r="A65" s="23">
        <v>56</v>
      </c>
      <c r="B65" s="23" t="s">
        <v>502</v>
      </c>
      <c r="C65" s="51">
        <v>4301</v>
      </c>
      <c r="D65" s="52">
        <v>4683</v>
      </c>
      <c r="E65" s="52">
        <v>4874</v>
      </c>
      <c r="F65" s="52">
        <v>5447</v>
      </c>
    </row>
    <row r="66" ht="16.5" spans="1:6">
      <c r="A66" s="23">
        <v>57</v>
      </c>
      <c r="B66" s="23" t="s">
        <v>503</v>
      </c>
      <c r="C66" s="51">
        <v>3903</v>
      </c>
      <c r="D66" s="52">
        <v>4379</v>
      </c>
      <c r="E66" s="52">
        <v>4617</v>
      </c>
      <c r="F66" s="52">
        <v>5331</v>
      </c>
    </row>
    <row r="67" ht="16.5" spans="1:6">
      <c r="A67" s="23">
        <v>58</v>
      </c>
      <c r="B67" s="23" t="s">
        <v>504</v>
      </c>
      <c r="C67" s="51">
        <v>3812</v>
      </c>
      <c r="D67" s="52">
        <v>4222</v>
      </c>
      <c r="E67" s="52">
        <v>4427</v>
      </c>
      <c r="F67" s="52">
        <v>5042</v>
      </c>
    </row>
    <row r="68" ht="16.5" spans="1:6">
      <c r="A68" s="23">
        <v>59</v>
      </c>
      <c r="B68" s="23" t="s">
        <v>505</v>
      </c>
      <c r="C68" s="51">
        <v>5003</v>
      </c>
      <c r="D68" s="52">
        <v>5483</v>
      </c>
      <c r="E68" s="52">
        <v>5723</v>
      </c>
      <c r="F68" s="52">
        <v>6443</v>
      </c>
    </row>
    <row r="69" ht="16.5" spans="1:6">
      <c r="A69" s="23">
        <v>60</v>
      </c>
      <c r="B69" s="23" t="s">
        <v>506</v>
      </c>
      <c r="C69" s="51">
        <v>3935</v>
      </c>
      <c r="D69" s="52">
        <v>4425</v>
      </c>
      <c r="E69" s="52">
        <v>4670</v>
      </c>
      <c r="F69" s="52">
        <v>5405</v>
      </c>
    </row>
    <row r="70" ht="16.5" spans="1:6">
      <c r="A70" s="23">
        <v>61</v>
      </c>
      <c r="B70" s="23" t="s">
        <v>507</v>
      </c>
      <c r="C70" s="51">
        <v>2643</v>
      </c>
      <c r="D70" s="52">
        <v>2999</v>
      </c>
      <c r="E70" s="52">
        <v>3177</v>
      </c>
      <c r="F70" s="52">
        <v>3711</v>
      </c>
    </row>
    <row r="71" ht="16.5" spans="1:6">
      <c r="A71" s="23">
        <v>62</v>
      </c>
      <c r="B71" s="23" t="s">
        <v>508</v>
      </c>
      <c r="C71" s="51">
        <v>4031</v>
      </c>
      <c r="D71" s="52">
        <v>4495</v>
      </c>
      <c r="E71" s="52">
        <v>4727</v>
      </c>
      <c r="F71" s="52">
        <v>5423</v>
      </c>
    </row>
    <row r="72" ht="16.5" spans="1:6">
      <c r="A72" s="23">
        <v>63</v>
      </c>
      <c r="B72" s="23" t="s">
        <v>509</v>
      </c>
      <c r="C72" s="51">
        <v>4058</v>
      </c>
      <c r="D72" s="52">
        <v>4474</v>
      </c>
      <c r="E72" s="52">
        <v>4682</v>
      </c>
      <c r="F72" s="52">
        <v>5306</v>
      </c>
    </row>
    <row r="73" ht="16.5" spans="1:6">
      <c r="A73" s="23">
        <v>64</v>
      </c>
      <c r="B73" s="23" t="s">
        <v>510</v>
      </c>
      <c r="C73" s="51">
        <v>3570</v>
      </c>
      <c r="D73" s="52">
        <v>3944</v>
      </c>
      <c r="E73" s="52">
        <v>4131</v>
      </c>
      <c r="F73" s="52">
        <v>4692</v>
      </c>
    </row>
    <row r="74" ht="16.5" spans="1:6">
      <c r="A74" s="23">
        <v>65</v>
      </c>
      <c r="B74" s="23" t="s">
        <v>511</v>
      </c>
      <c r="C74" s="51">
        <v>5668</v>
      </c>
      <c r="D74" s="52">
        <v>6180</v>
      </c>
      <c r="E74" s="52">
        <v>6436</v>
      </c>
      <c r="F74" s="52">
        <v>7204</v>
      </c>
    </row>
    <row r="75" ht="16.5" spans="1:6">
      <c r="A75" s="23">
        <v>66</v>
      </c>
      <c r="B75" s="23" t="s">
        <v>512</v>
      </c>
      <c r="C75" s="51">
        <v>5223</v>
      </c>
      <c r="D75" s="52">
        <v>5707</v>
      </c>
      <c r="E75" s="52">
        <v>5949</v>
      </c>
      <c r="F75" s="52">
        <v>6675</v>
      </c>
    </row>
    <row r="76" ht="16.5" spans="1:6">
      <c r="A76" s="23">
        <v>67</v>
      </c>
      <c r="B76" s="23" t="s">
        <v>513</v>
      </c>
      <c r="C76" s="51">
        <v>4178</v>
      </c>
      <c r="D76" s="52">
        <v>4656</v>
      </c>
      <c r="E76" s="52">
        <v>4895</v>
      </c>
      <c r="F76" s="52">
        <v>5612</v>
      </c>
    </row>
    <row r="77" ht="16.5" spans="1:6">
      <c r="A77" s="23">
        <v>68</v>
      </c>
      <c r="B77" s="23" t="s">
        <v>514</v>
      </c>
      <c r="C77" s="51">
        <v>3650</v>
      </c>
      <c r="D77" s="52">
        <v>4046</v>
      </c>
      <c r="E77" s="52">
        <v>4244</v>
      </c>
      <c r="F77" s="52">
        <v>4838</v>
      </c>
    </row>
    <row r="78" ht="16.5" spans="1:6">
      <c r="A78" s="23">
        <v>69</v>
      </c>
      <c r="B78" s="23" t="s">
        <v>515</v>
      </c>
      <c r="C78" s="51">
        <v>4197</v>
      </c>
      <c r="D78" s="52">
        <v>4667</v>
      </c>
      <c r="E78" s="52">
        <v>4902</v>
      </c>
      <c r="F78" s="52">
        <v>5607</v>
      </c>
    </row>
    <row r="79" ht="16.5" spans="1:6">
      <c r="A79" s="23">
        <v>70</v>
      </c>
      <c r="B79" s="23" t="s">
        <v>516</v>
      </c>
      <c r="C79" s="51">
        <v>5656</v>
      </c>
      <c r="D79" s="52">
        <v>6136</v>
      </c>
      <c r="E79" s="52">
        <v>6376</v>
      </c>
      <c r="F79" s="52">
        <v>7096</v>
      </c>
    </row>
    <row r="80" ht="16.5" spans="1:6">
      <c r="A80" s="23">
        <v>71</v>
      </c>
      <c r="B80" s="23" t="s">
        <v>517</v>
      </c>
      <c r="C80" s="51">
        <v>4029</v>
      </c>
      <c r="D80" s="52">
        <v>4499</v>
      </c>
      <c r="E80" s="52">
        <v>4734</v>
      </c>
      <c r="F80" s="52">
        <v>5439</v>
      </c>
    </row>
    <row r="81" ht="16.5" spans="1:6">
      <c r="A81" s="23">
        <v>72</v>
      </c>
      <c r="B81" s="23" t="s">
        <v>518</v>
      </c>
      <c r="C81" s="51">
        <v>5257</v>
      </c>
      <c r="D81" s="52">
        <v>5725</v>
      </c>
      <c r="E81" s="52">
        <v>5959</v>
      </c>
      <c r="F81" s="52">
        <v>6661</v>
      </c>
    </row>
    <row r="82" ht="16.5" spans="1:6">
      <c r="A82" s="23">
        <v>73</v>
      </c>
      <c r="B82" s="23" t="s">
        <v>519</v>
      </c>
      <c r="C82" s="51">
        <v>4175</v>
      </c>
      <c r="D82" s="52">
        <v>4607</v>
      </c>
      <c r="E82" s="52">
        <v>4823</v>
      </c>
      <c r="F82" s="52">
        <v>5471</v>
      </c>
    </row>
    <row r="83" ht="16.5" spans="1:6">
      <c r="A83" s="23">
        <v>74</v>
      </c>
      <c r="B83" s="23" t="s">
        <v>520</v>
      </c>
      <c r="C83" s="51">
        <v>4956</v>
      </c>
      <c r="D83" s="52">
        <v>5366</v>
      </c>
      <c r="E83" s="52">
        <v>5571</v>
      </c>
      <c r="F83" s="52">
        <v>6186</v>
      </c>
    </row>
    <row r="84" ht="16.5" spans="1:6">
      <c r="A84" s="23">
        <v>75</v>
      </c>
      <c r="B84" s="23" t="s">
        <v>521</v>
      </c>
      <c r="C84" s="51">
        <v>6498</v>
      </c>
      <c r="D84" s="52">
        <v>6986</v>
      </c>
      <c r="E84" s="52">
        <v>7230</v>
      </c>
      <c r="F84" s="52">
        <v>7962</v>
      </c>
    </row>
    <row r="85" ht="16.5" spans="1:6">
      <c r="A85" s="23">
        <v>76</v>
      </c>
      <c r="B85" s="23" t="s">
        <v>522</v>
      </c>
      <c r="C85" s="51">
        <v>4412</v>
      </c>
      <c r="D85" s="52">
        <v>4914</v>
      </c>
      <c r="E85" s="52">
        <v>5165</v>
      </c>
      <c r="F85" s="52">
        <v>5918</v>
      </c>
    </row>
    <row r="86" ht="16.5" spans="1:6">
      <c r="A86" s="23">
        <v>77</v>
      </c>
      <c r="B86" s="23" t="s">
        <v>523</v>
      </c>
      <c r="C86" s="51">
        <v>4141</v>
      </c>
      <c r="D86" s="52">
        <v>4619</v>
      </c>
      <c r="E86" s="52">
        <v>4858</v>
      </c>
      <c r="F86" s="52">
        <v>5575</v>
      </c>
    </row>
    <row r="87" ht="16.5" spans="1:6">
      <c r="A87" s="23">
        <v>78</v>
      </c>
      <c r="B87" s="23" t="s">
        <v>524</v>
      </c>
      <c r="C87" s="51">
        <v>3876</v>
      </c>
      <c r="D87" s="52">
        <v>4342</v>
      </c>
      <c r="E87" s="52">
        <v>4575</v>
      </c>
      <c r="F87" s="52">
        <v>5274</v>
      </c>
    </row>
    <row r="88" ht="16.5" spans="1:6">
      <c r="A88" s="23">
        <v>79</v>
      </c>
      <c r="B88" s="23" t="s">
        <v>525</v>
      </c>
      <c r="C88" s="51">
        <v>5768</v>
      </c>
      <c r="D88" s="52">
        <v>6192</v>
      </c>
      <c r="E88" s="52">
        <v>6404</v>
      </c>
      <c r="F88" s="52">
        <v>7040</v>
      </c>
    </row>
    <row r="89" ht="16.5" spans="1:6">
      <c r="A89" s="23">
        <v>83</v>
      </c>
      <c r="B89" s="23" t="s">
        <v>526</v>
      </c>
      <c r="C89" s="51">
        <v>6303</v>
      </c>
      <c r="D89" s="52">
        <v>6867</v>
      </c>
      <c r="E89" s="52">
        <v>7149</v>
      </c>
      <c r="F89" s="52">
        <v>7995</v>
      </c>
    </row>
    <row r="90" ht="16.5" spans="1:6">
      <c r="A90" s="23">
        <v>86</v>
      </c>
      <c r="B90" s="23" t="s">
        <v>527</v>
      </c>
      <c r="C90" s="51">
        <v>6209</v>
      </c>
      <c r="D90" s="52">
        <v>6753</v>
      </c>
      <c r="E90" s="52">
        <v>7025</v>
      </c>
      <c r="F90" s="52">
        <v>7841</v>
      </c>
    </row>
    <row r="91" ht="16.5" spans="1:6">
      <c r="A91" s="23">
        <v>87</v>
      </c>
      <c r="B91" s="23" t="s">
        <v>528</v>
      </c>
      <c r="C91" s="51">
        <v>7807</v>
      </c>
      <c r="D91" s="52">
        <v>8449</v>
      </c>
      <c r="E91" s="52">
        <v>8770</v>
      </c>
      <c r="F91" s="52">
        <v>9733</v>
      </c>
    </row>
    <row r="92" ht="16.5" spans="1:6">
      <c r="A92" s="23">
        <v>89</v>
      </c>
      <c r="B92" s="23" t="s">
        <v>529</v>
      </c>
      <c r="C92" s="51">
        <v>7373</v>
      </c>
      <c r="D92" s="52">
        <v>7941</v>
      </c>
      <c r="E92" s="52">
        <v>8225</v>
      </c>
      <c r="F92" s="52">
        <v>9077</v>
      </c>
    </row>
    <row r="93" ht="16.5" spans="1:6">
      <c r="A93" s="23">
        <v>91</v>
      </c>
      <c r="B93" s="23" t="s">
        <v>530</v>
      </c>
      <c r="C93" s="51">
        <v>1949</v>
      </c>
      <c r="D93" s="52">
        <v>2317</v>
      </c>
      <c r="E93" s="52">
        <v>2501</v>
      </c>
      <c r="F93" s="52">
        <v>3053</v>
      </c>
    </row>
    <row r="94" ht="16.5" spans="1:6">
      <c r="A94" s="23">
        <v>92</v>
      </c>
      <c r="B94" s="23" t="s">
        <v>531</v>
      </c>
      <c r="C94" s="51">
        <v>1949</v>
      </c>
      <c r="D94" s="52">
        <v>2317</v>
      </c>
      <c r="E94" s="52">
        <v>2501</v>
      </c>
      <c r="F94" s="52">
        <v>3053</v>
      </c>
    </row>
  </sheetData>
  <mergeCells count="4">
    <mergeCell ref="C4:F4"/>
    <mergeCell ref="A4:A5"/>
    <mergeCell ref="A19:A21"/>
    <mergeCell ref="A31:A33"/>
  </mergeCells>
  <pageMargins left="0.7" right="0.7" top="0.75" bottom="0.75" header="0.3" footer="0.3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4"/>
  <sheetViews>
    <sheetView workbookViewId="0">
      <selection activeCell="N21" sqref="N21"/>
    </sheetView>
  </sheetViews>
  <sheetFormatPr defaultColWidth="9" defaultRowHeight="15" outlineLevelCol="5"/>
  <sheetData>
    <row r="1" spans="1:6">
      <c r="A1" s="41" t="s">
        <v>535</v>
      </c>
      <c r="B1" s="42"/>
      <c r="C1" s="42"/>
      <c r="D1" s="42"/>
      <c r="E1" s="42"/>
      <c r="F1" s="42"/>
    </row>
    <row r="2" spans="1:6">
      <c r="A2" s="43"/>
      <c r="B2" s="43"/>
      <c r="C2" s="43"/>
      <c r="D2" s="43"/>
      <c r="E2" s="43"/>
      <c r="F2" s="43"/>
    </row>
    <row r="3" spans="1:6">
      <c r="A3" s="43"/>
      <c r="B3" s="43">
        <f>VLOOKUP('1.Общие данные по зданию'!C7,Климатология2023!B6:F94,IF('1.Общие данные по зданию'!C17=18,2,IF('1.Общие данные по зданию'!C17=20,3,IF('1.Общие данные по зданию'!C17=21,4,5))),0)</f>
        <v>2398</v>
      </c>
      <c r="C3" s="43"/>
      <c r="D3" s="43"/>
      <c r="E3" s="43"/>
      <c r="F3" s="43"/>
    </row>
    <row r="4" ht="15.75" spans="1:6">
      <c r="A4" s="44"/>
      <c r="B4" s="44"/>
      <c r="C4" s="45" t="s">
        <v>439</v>
      </c>
      <c r="D4" s="45"/>
      <c r="E4" s="45"/>
      <c r="F4" s="45"/>
    </row>
    <row r="5" ht="18.75" spans="1:6">
      <c r="A5" s="44"/>
      <c r="B5" s="44" t="s">
        <v>42</v>
      </c>
      <c r="C5" s="39" t="s">
        <v>440</v>
      </c>
      <c r="D5" s="39" t="s">
        <v>441</v>
      </c>
      <c r="E5" s="39" t="s">
        <v>442</v>
      </c>
      <c r="F5" s="39" t="s">
        <v>443</v>
      </c>
    </row>
    <row r="6" ht="16.5" spans="1:6">
      <c r="A6" s="23">
        <v>1</v>
      </c>
      <c r="B6" s="23" t="s">
        <v>444</v>
      </c>
      <c r="C6" s="56">
        <v>2045</v>
      </c>
      <c r="D6" s="57">
        <v>2419</v>
      </c>
      <c r="E6" s="57">
        <v>2606</v>
      </c>
      <c r="F6" s="57">
        <v>3167</v>
      </c>
    </row>
    <row r="7" ht="16.5" spans="1:6">
      <c r="A7" s="23">
        <v>2</v>
      </c>
      <c r="B7" s="23" t="s">
        <v>445</v>
      </c>
      <c r="C7" s="58">
        <v>4409</v>
      </c>
      <c r="D7" s="59">
        <v>4817</v>
      </c>
      <c r="E7" s="59">
        <v>5021</v>
      </c>
      <c r="F7" s="59">
        <v>5633</v>
      </c>
    </row>
    <row r="8" ht="16.5" spans="1:6">
      <c r="A8" s="23">
        <v>3</v>
      </c>
      <c r="B8" s="23" t="s">
        <v>446</v>
      </c>
      <c r="C8" s="58">
        <v>6147</v>
      </c>
      <c r="D8" s="59">
        <v>6625</v>
      </c>
      <c r="E8" s="59">
        <v>6864</v>
      </c>
      <c r="F8" s="59">
        <v>7581</v>
      </c>
    </row>
    <row r="9" ht="16.5" spans="1:6">
      <c r="A9" s="23">
        <v>4</v>
      </c>
      <c r="B9" s="23" t="s">
        <v>447</v>
      </c>
      <c r="C9" s="58">
        <v>4858</v>
      </c>
      <c r="D9" s="59">
        <v>5320</v>
      </c>
      <c r="E9" s="59">
        <v>5551</v>
      </c>
      <c r="F9" s="59">
        <v>6244</v>
      </c>
    </row>
    <row r="10" ht="16.5" spans="1:6">
      <c r="A10" s="23">
        <v>5</v>
      </c>
      <c r="B10" s="23" t="s">
        <v>448</v>
      </c>
      <c r="C10" s="58">
        <v>1899</v>
      </c>
      <c r="D10" s="59">
        <v>2213</v>
      </c>
      <c r="E10" s="59">
        <v>2370</v>
      </c>
      <c r="F10" s="59">
        <v>2841</v>
      </c>
    </row>
    <row r="11" ht="16.5" spans="1:6">
      <c r="A11" s="23">
        <v>6</v>
      </c>
      <c r="B11" s="23" t="s">
        <v>449</v>
      </c>
      <c r="C11" s="58">
        <v>2515</v>
      </c>
      <c r="D11" s="59">
        <v>2945</v>
      </c>
      <c r="E11" s="59">
        <v>3160</v>
      </c>
      <c r="F11" s="59">
        <v>3805</v>
      </c>
    </row>
    <row r="12" ht="16.5" spans="1:6">
      <c r="A12" s="23">
        <v>7</v>
      </c>
      <c r="B12" s="23" t="s">
        <v>450</v>
      </c>
      <c r="C12" s="58">
        <v>2357</v>
      </c>
      <c r="D12" s="59">
        <v>2745</v>
      </c>
      <c r="E12" s="59">
        <v>2939</v>
      </c>
      <c r="F12" s="59">
        <v>3521</v>
      </c>
    </row>
    <row r="13" ht="16.5" spans="1:6">
      <c r="A13" s="23">
        <v>8</v>
      </c>
      <c r="B13" s="23" t="s">
        <v>451</v>
      </c>
      <c r="C13" s="58">
        <v>2676</v>
      </c>
      <c r="D13" s="59">
        <v>3054</v>
      </c>
      <c r="E13" s="59">
        <v>3243</v>
      </c>
      <c r="F13" s="59">
        <v>3810</v>
      </c>
    </row>
    <row r="14" ht="16.5" spans="1:6">
      <c r="A14" s="23">
        <v>9</v>
      </c>
      <c r="B14" s="23" t="s">
        <v>452</v>
      </c>
      <c r="C14" s="58">
        <v>2464</v>
      </c>
      <c r="D14" s="59">
        <v>2832</v>
      </c>
      <c r="E14" s="59">
        <v>3016</v>
      </c>
      <c r="F14" s="59">
        <v>3568</v>
      </c>
    </row>
    <row r="15" ht="16.5" spans="1:6">
      <c r="A15" s="23">
        <v>10</v>
      </c>
      <c r="B15" s="23" t="s">
        <v>453</v>
      </c>
      <c r="C15" s="58">
        <v>4469</v>
      </c>
      <c r="D15" s="59">
        <v>4919</v>
      </c>
      <c r="E15" s="59">
        <v>5144</v>
      </c>
      <c r="F15" s="59">
        <v>5819</v>
      </c>
    </row>
    <row r="16" ht="16.5" spans="1:6">
      <c r="A16" s="23">
        <v>11</v>
      </c>
      <c r="B16" s="23" t="s">
        <v>454</v>
      </c>
      <c r="C16" s="58">
        <v>5240</v>
      </c>
      <c r="D16" s="59">
        <v>5766</v>
      </c>
      <c r="E16" s="59">
        <v>6029</v>
      </c>
      <c r="F16" s="59">
        <v>6818</v>
      </c>
    </row>
    <row r="17" ht="16.5" spans="1:6">
      <c r="A17" s="23">
        <v>12</v>
      </c>
      <c r="B17" s="23" t="s">
        <v>455</v>
      </c>
      <c r="C17" s="58">
        <v>4226</v>
      </c>
      <c r="D17" s="59">
        <v>4630</v>
      </c>
      <c r="E17" s="59">
        <v>4832</v>
      </c>
      <c r="F17" s="59">
        <v>5438</v>
      </c>
    </row>
    <row r="18" ht="16.5" spans="1:6">
      <c r="A18" s="23">
        <v>13</v>
      </c>
      <c r="B18" s="23" t="s">
        <v>456</v>
      </c>
      <c r="C18" s="58">
        <v>3885</v>
      </c>
      <c r="D18" s="59">
        <v>4283</v>
      </c>
      <c r="E18" s="59">
        <v>4482</v>
      </c>
      <c r="F18" s="59">
        <v>5089</v>
      </c>
    </row>
    <row r="19" ht="16.5" spans="1:6">
      <c r="A19" s="23">
        <v>14</v>
      </c>
      <c r="B19" s="23" t="s">
        <v>457</v>
      </c>
      <c r="C19" s="58">
        <v>9389</v>
      </c>
      <c r="D19" s="59">
        <v>9949</v>
      </c>
      <c r="E19" s="59">
        <v>10229</v>
      </c>
      <c r="F19" s="59">
        <v>11069</v>
      </c>
    </row>
    <row r="20" ht="16.5" spans="1:6">
      <c r="A20" s="23"/>
      <c r="B20" s="23" t="s">
        <v>458</v>
      </c>
      <c r="C20" s="56">
        <v>10083</v>
      </c>
      <c r="D20" s="57">
        <v>10639</v>
      </c>
      <c r="E20" s="57">
        <v>10917</v>
      </c>
      <c r="F20" s="57">
        <v>11751</v>
      </c>
    </row>
    <row r="21" ht="16.5" spans="1:6">
      <c r="A21" s="23"/>
      <c r="B21" s="23" t="s">
        <v>459</v>
      </c>
      <c r="C21" s="58">
        <v>10551</v>
      </c>
      <c r="D21" s="59">
        <v>11281</v>
      </c>
      <c r="E21" s="59">
        <v>11646</v>
      </c>
      <c r="F21" s="59">
        <v>12741</v>
      </c>
    </row>
    <row r="22" ht="16.5" spans="1:6">
      <c r="A22" s="23">
        <v>15</v>
      </c>
      <c r="B22" s="23" t="s">
        <v>460</v>
      </c>
      <c r="C22" s="58">
        <v>2738</v>
      </c>
      <c r="D22" s="59">
        <v>3132</v>
      </c>
      <c r="E22" s="59">
        <v>3329</v>
      </c>
      <c r="F22" s="59">
        <v>3920</v>
      </c>
    </row>
    <row r="23" ht="16.5" spans="1:6">
      <c r="A23" s="23">
        <v>16</v>
      </c>
      <c r="B23" s="23" t="s">
        <v>461</v>
      </c>
      <c r="C23" s="58">
        <v>4273</v>
      </c>
      <c r="D23" s="59">
        <v>4707</v>
      </c>
      <c r="E23" s="59">
        <v>4924</v>
      </c>
      <c r="F23" s="59">
        <v>5575</v>
      </c>
    </row>
    <row r="24" ht="16.5" spans="1:6">
      <c r="A24" s="23">
        <v>17</v>
      </c>
      <c r="B24" s="23" t="s">
        <v>462</v>
      </c>
      <c r="C24" s="58">
        <v>6547</v>
      </c>
      <c r="D24" s="59">
        <v>7035</v>
      </c>
      <c r="E24" s="59">
        <v>7279</v>
      </c>
      <c r="F24" s="59">
        <v>8011</v>
      </c>
    </row>
    <row r="25" ht="16.5" spans="1:6">
      <c r="A25" s="23">
        <v>18</v>
      </c>
      <c r="B25" s="23" t="s">
        <v>463</v>
      </c>
      <c r="C25" s="58">
        <v>4398</v>
      </c>
      <c r="D25" s="59">
        <v>4790</v>
      </c>
      <c r="E25" s="59">
        <v>4986</v>
      </c>
      <c r="F25" s="59">
        <v>5574</v>
      </c>
    </row>
    <row r="26" ht="16.5" spans="1:6">
      <c r="A26" s="23">
        <v>19</v>
      </c>
      <c r="B26" s="23" t="s">
        <v>464</v>
      </c>
      <c r="C26" s="58">
        <v>5370</v>
      </c>
      <c r="D26" s="59">
        <v>5840</v>
      </c>
      <c r="E26" s="59">
        <v>6075</v>
      </c>
      <c r="F26" s="59">
        <v>6780</v>
      </c>
    </row>
    <row r="27" ht="16.5" spans="1:6">
      <c r="A27" s="23">
        <v>20</v>
      </c>
      <c r="B27" s="23" t="s">
        <v>465</v>
      </c>
      <c r="C27" s="58">
        <v>2491</v>
      </c>
      <c r="D27" s="59">
        <v>2883</v>
      </c>
      <c r="E27" s="59">
        <v>3079</v>
      </c>
      <c r="F27" s="59">
        <v>3667</v>
      </c>
    </row>
    <row r="28" ht="16.5" spans="1:6">
      <c r="A28" s="23">
        <v>21</v>
      </c>
      <c r="B28" s="23" t="s">
        <v>466</v>
      </c>
      <c r="C28" s="58">
        <v>4156</v>
      </c>
      <c r="D28" s="59">
        <v>4552</v>
      </c>
      <c r="E28" s="59">
        <v>4750</v>
      </c>
      <c r="F28" s="59">
        <v>5344</v>
      </c>
    </row>
    <row r="29" ht="16.5" spans="1:6">
      <c r="A29" s="23">
        <v>22</v>
      </c>
      <c r="B29" s="23" t="s">
        <v>467</v>
      </c>
      <c r="C29" s="58">
        <v>4878</v>
      </c>
      <c r="D29" s="59">
        <v>5332</v>
      </c>
      <c r="E29" s="59">
        <v>5559</v>
      </c>
      <c r="F29" s="59">
        <v>6240</v>
      </c>
    </row>
    <row r="30" ht="16.5" spans="1:6">
      <c r="A30" s="23">
        <v>23</v>
      </c>
      <c r="B30" s="23" t="s">
        <v>116</v>
      </c>
      <c r="C30" s="58">
        <v>2034</v>
      </c>
      <c r="D30" s="59">
        <v>2398</v>
      </c>
      <c r="E30" s="59">
        <v>2580</v>
      </c>
      <c r="F30" s="59">
        <v>3126</v>
      </c>
    </row>
    <row r="31" ht="16.5" spans="1:6">
      <c r="A31" s="23">
        <v>24</v>
      </c>
      <c r="B31" s="23" t="s">
        <v>468</v>
      </c>
      <c r="C31" s="56">
        <v>5209</v>
      </c>
      <c r="D31" s="57">
        <v>5683</v>
      </c>
      <c r="E31" s="57">
        <v>5920</v>
      </c>
      <c r="F31" s="57">
        <v>6631</v>
      </c>
    </row>
    <row r="32" ht="16.5" spans="1:6">
      <c r="A32" s="23"/>
      <c r="B32" s="23" t="s">
        <v>469</v>
      </c>
      <c r="C32" s="58">
        <v>8863</v>
      </c>
      <c r="D32" s="59">
        <v>9403</v>
      </c>
      <c r="E32" s="59">
        <v>9673</v>
      </c>
      <c r="F32" s="59">
        <v>10483</v>
      </c>
    </row>
    <row r="33" ht="16.5" spans="1:6">
      <c r="A33" s="23"/>
      <c r="B33" s="23" t="s">
        <v>470</v>
      </c>
      <c r="C33" s="58">
        <v>8815</v>
      </c>
      <c r="D33" s="59">
        <v>9379</v>
      </c>
      <c r="E33" s="59">
        <v>9661</v>
      </c>
      <c r="F33" s="59">
        <v>10507</v>
      </c>
    </row>
    <row r="34" ht="16.5" spans="1:6">
      <c r="A34" s="23">
        <v>25</v>
      </c>
      <c r="B34" s="23" t="s">
        <v>471</v>
      </c>
      <c r="C34" s="58">
        <v>4023</v>
      </c>
      <c r="D34" s="59">
        <v>4409</v>
      </c>
      <c r="E34" s="59">
        <v>4602</v>
      </c>
      <c r="F34" s="59">
        <v>5181</v>
      </c>
    </row>
    <row r="35" ht="16.5" spans="1:6">
      <c r="A35" s="23">
        <v>26</v>
      </c>
      <c r="B35" s="23" t="s">
        <v>472</v>
      </c>
      <c r="C35" s="58">
        <v>2573</v>
      </c>
      <c r="D35" s="59">
        <v>2969</v>
      </c>
      <c r="E35" s="59">
        <v>3167</v>
      </c>
      <c r="F35" s="59">
        <v>3761</v>
      </c>
    </row>
    <row r="36" ht="16.5" spans="1:6">
      <c r="A36" s="23">
        <v>27</v>
      </c>
      <c r="B36" s="23" t="s">
        <v>473</v>
      </c>
      <c r="C36" s="58">
        <v>5460</v>
      </c>
      <c r="D36" s="59">
        <v>5888</v>
      </c>
      <c r="E36" s="59">
        <v>6102</v>
      </c>
      <c r="F36" s="59">
        <v>6744</v>
      </c>
    </row>
    <row r="37" ht="16.5" spans="1:6">
      <c r="A37" s="23">
        <v>28</v>
      </c>
      <c r="B37" s="23" t="s">
        <v>474</v>
      </c>
      <c r="C37" s="58">
        <v>5738</v>
      </c>
      <c r="D37" s="59">
        <v>6178</v>
      </c>
      <c r="E37" s="59">
        <v>6398</v>
      </c>
      <c r="F37" s="59">
        <v>7058</v>
      </c>
    </row>
    <row r="38" ht="16.5" spans="1:6">
      <c r="A38" s="23">
        <v>29</v>
      </c>
      <c r="B38" s="23" t="s">
        <v>475</v>
      </c>
      <c r="C38" s="58">
        <v>5170</v>
      </c>
      <c r="D38" s="59">
        <v>5652</v>
      </c>
      <c r="E38" s="59">
        <v>5893</v>
      </c>
      <c r="F38" s="59">
        <v>6616</v>
      </c>
    </row>
    <row r="39" ht="16.5" spans="1:6">
      <c r="A39" s="23">
        <v>30</v>
      </c>
      <c r="B39" s="23" t="s">
        <v>476</v>
      </c>
      <c r="C39" s="58">
        <v>2381</v>
      </c>
      <c r="D39" s="59">
        <v>2677</v>
      </c>
      <c r="E39" s="59">
        <v>2825</v>
      </c>
      <c r="F39" s="59">
        <v>3269</v>
      </c>
    </row>
    <row r="40" ht="16.5" spans="1:6">
      <c r="A40" s="23">
        <v>31</v>
      </c>
      <c r="B40" s="23" t="s">
        <v>477</v>
      </c>
      <c r="C40" s="58">
        <v>3232</v>
      </c>
      <c r="D40" s="59">
        <v>3628</v>
      </c>
      <c r="E40" s="59">
        <v>3826</v>
      </c>
      <c r="F40" s="59">
        <v>4420</v>
      </c>
    </row>
    <row r="41" ht="16.5" spans="1:6">
      <c r="A41" s="23">
        <v>32</v>
      </c>
      <c r="B41" s="23" t="s">
        <v>478</v>
      </c>
      <c r="C41" s="58">
        <v>3417</v>
      </c>
      <c r="D41" s="59">
        <v>3819</v>
      </c>
      <c r="E41" s="59">
        <v>4020</v>
      </c>
      <c r="F41" s="59">
        <v>4623</v>
      </c>
    </row>
    <row r="42" ht="16.5" spans="1:6">
      <c r="A42" s="23">
        <v>33</v>
      </c>
      <c r="B42" s="23" t="s">
        <v>479</v>
      </c>
      <c r="C42" s="58">
        <v>3983</v>
      </c>
      <c r="D42" s="59">
        <v>4393</v>
      </c>
      <c r="E42" s="59">
        <v>4598</v>
      </c>
      <c r="F42" s="59">
        <v>5213</v>
      </c>
    </row>
    <row r="43" ht="16.5" spans="1:6">
      <c r="A43" s="23">
        <v>34</v>
      </c>
      <c r="B43" s="23" t="s">
        <v>480</v>
      </c>
      <c r="C43" s="58">
        <v>2952</v>
      </c>
      <c r="D43" s="59">
        <v>3292</v>
      </c>
      <c r="E43" s="59">
        <v>3462</v>
      </c>
      <c r="F43" s="59">
        <v>3972</v>
      </c>
    </row>
    <row r="44" ht="16.5" spans="1:6">
      <c r="A44" s="23">
        <v>35</v>
      </c>
      <c r="B44" s="23" t="s">
        <v>481</v>
      </c>
      <c r="C44" s="56">
        <v>4410</v>
      </c>
      <c r="D44" s="57">
        <v>4882</v>
      </c>
      <c r="E44" s="57">
        <v>5118</v>
      </c>
      <c r="F44" s="57">
        <v>5826</v>
      </c>
    </row>
    <row r="45" ht="16.5" spans="1:6">
      <c r="A45" s="23">
        <v>36</v>
      </c>
      <c r="B45" s="23" t="s">
        <v>482</v>
      </c>
      <c r="C45" s="58">
        <v>3279</v>
      </c>
      <c r="D45" s="59">
        <v>3641</v>
      </c>
      <c r="E45" s="59">
        <v>3822</v>
      </c>
      <c r="F45" s="59">
        <v>4365</v>
      </c>
    </row>
    <row r="46" ht="16.5" spans="1:6">
      <c r="A46" s="23">
        <v>37</v>
      </c>
      <c r="B46" s="23" t="s">
        <v>483</v>
      </c>
      <c r="C46" s="58">
        <v>4091</v>
      </c>
      <c r="D46" s="59">
        <v>4517</v>
      </c>
      <c r="E46" s="59">
        <v>4730</v>
      </c>
      <c r="F46" s="59">
        <v>5369</v>
      </c>
    </row>
    <row r="47" ht="16.5" spans="1:6">
      <c r="A47" s="23">
        <v>38</v>
      </c>
      <c r="B47" s="23" t="s">
        <v>484</v>
      </c>
      <c r="C47" s="58">
        <v>5762</v>
      </c>
      <c r="D47" s="59">
        <v>6258</v>
      </c>
      <c r="E47" s="59">
        <v>6506</v>
      </c>
      <c r="F47" s="59">
        <v>7250</v>
      </c>
    </row>
    <row r="48" ht="16.5" spans="1:6">
      <c r="A48" s="23">
        <v>39</v>
      </c>
      <c r="B48" s="23" t="s">
        <v>485</v>
      </c>
      <c r="C48" s="58">
        <v>2918</v>
      </c>
      <c r="D48" s="59">
        <v>3334</v>
      </c>
      <c r="E48" s="59">
        <v>3542</v>
      </c>
      <c r="F48" s="59">
        <v>4166</v>
      </c>
    </row>
    <row r="49" ht="16.5" spans="1:6">
      <c r="A49" s="23">
        <v>40</v>
      </c>
      <c r="B49" s="23" t="s">
        <v>486</v>
      </c>
      <c r="C49" s="58">
        <v>3592</v>
      </c>
      <c r="D49" s="59">
        <v>3994</v>
      </c>
      <c r="E49" s="59">
        <v>4195</v>
      </c>
      <c r="F49" s="59">
        <v>4798</v>
      </c>
    </row>
    <row r="50" ht="16.5" spans="1:6">
      <c r="A50" s="23">
        <v>41</v>
      </c>
      <c r="B50" s="23" t="s">
        <v>487</v>
      </c>
      <c r="C50" s="58">
        <v>4826</v>
      </c>
      <c r="D50" s="59">
        <v>5352</v>
      </c>
      <c r="E50" s="59">
        <v>5615</v>
      </c>
      <c r="F50" s="59">
        <v>6404</v>
      </c>
    </row>
    <row r="51" ht="16.5" spans="1:6">
      <c r="A51" s="23">
        <v>42</v>
      </c>
      <c r="B51" s="23" t="s">
        <v>488</v>
      </c>
      <c r="C51" s="58">
        <v>5378</v>
      </c>
      <c r="D51" s="59">
        <v>5862</v>
      </c>
      <c r="E51" s="59">
        <v>6104</v>
      </c>
      <c r="F51" s="59">
        <v>6830</v>
      </c>
    </row>
    <row r="52" ht="16.5" spans="1:6">
      <c r="A52" s="23">
        <v>43</v>
      </c>
      <c r="B52" s="23" t="s">
        <v>489</v>
      </c>
      <c r="C52" s="58">
        <v>4612</v>
      </c>
      <c r="D52" s="59">
        <v>5052</v>
      </c>
      <c r="E52" s="59">
        <v>5272</v>
      </c>
      <c r="F52" s="59">
        <v>5932</v>
      </c>
    </row>
    <row r="53" ht="16.5" spans="1:6">
      <c r="A53" s="23">
        <v>44</v>
      </c>
      <c r="B53" s="23" t="s">
        <v>490</v>
      </c>
      <c r="C53" s="58">
        <v>4121</v>
      </c>
      <c r="D53" s="59">
        <v>4547</v>
      </c>
      <c r="E53" s="59">
        <v>4760</v>
      </c>
      <c r="F53" s="59">
        <v>5399</v>
      </c>
    </row>
    <row r="54" ht="16.5" spans="1:6">
      <c r="A54" s="23">
        <v>45</v>
      </c>
      <c r="B54" s="23" t="s">
        <v>491</v>
      </c>
      <c r="C54" s="58">
        <v>4732</v>
      </c>
      <c r="D54" s="59">
        <v>5170</v>
      </c>
      <c r="E54" s="59">
        <v>5389</v>
      </c>
      <c r="F54" s="59">
        <v>6046</v>
      </c>
    </row>
    <row r="55" ht="16.5" spans="1:6">
      <c r="A55" s="23">
        <v>46</v>
      </c>
      <c r="B55" s="23" t="s">
        <v>492</v>
      </c>
      <c r="C55" s="58">
        <v>3283</v>
      </c>
      <c r="D55" s="59">
        <v>3669</v>
      </c>
      <c r="E55" s="59">
        <v>3862</v>
      </c>
      <c r="F55" s="59">
        <v>4441</v>
      </c>
    </row>
    <row r="56" ht="16.5" spans="1:6">
      <c r="A56" s="23">
        <v>47</v>
      </c>
      <c r="B56" s="23" t="s">
        <v>493</v>
      </c>
      <c r="C56" s="58">
        <v>3957</v>
      </c>
      <c r="D56" s="59">
        <v>4409</v>
      </c>
      <c r="E56" s="59">
        <v>4635</v>
      </c>
      <c r="F56" s="59">
        <v>5313</v>
      </c>
    </row>
    <row r="57" ht="16.5" spans="1:6">
      <c r="A57" s="23">
        <v>48</v>
      </c>
      <c r="B57" s="23" t="s">
        <v>494</v>
      </c>
      <c r="C57" s="58">
        <v>3456</v>
      </c>
      <c r="D57" s="59">
        <v>3828</v>
      </c>
      <c r="E57" s="59">
        <v>4014</v>
      </c>
      <c r="F57" s="59">
        <v>4572</v>
      </c>
    </row>
    <row r="58" ht="16.5" spans="1:6">
      <c r="A58" s="23">
        <v>49</v>
      </c>
      <c r="B58" s="23" t="s">
        <v>495</v>
      </c>
      <c r="C58" s="58">
        <v>6827</v>
      </c>
      <c r="D58" s="59">
        <v>7369</v>
      </c>
      <c r="E58" s="59">
        <v>7640</v>
      </c>
      <c r="F58" s="59">
        <v>8453</v>
      </c>
    </row>
    <row r="59" ht="16.5" spans="1:6">
      <c r="A59" s="23">
        <v>50</v>
      </c>
      <c r="B59" s="23" t="s">
        <v>496</v>
      </c>
      <c r="C59" s="58">
        <v>3932</v>
      </c>
      <c r="D59" s="59">
        <v>4384</v>
      </c>
      <c r="E59" s="59">
        <v>4610</v>
      </c>
      <c r="F59" s="59">
        <v>5288</v>
      </c>
    </row>
    <row r="60" ht="16.5" spans="1:6">
      <c r="A60" s="23">
        <v>51</v>
      </c>
      <c r="B60" s="23" t="s">
        <v>497</v>
      </c>
      <c r="C60" s="58">
        <v>5264</v>
      </c>
      <c r="D60" s="59">
        <v>5756</v>
      </c>
      <c r="E60" s="59">
        <v>6002</v>
      </c>
      <c r="F60" s="59">
        <v>6740</v>
      </c>
    </row>
    <row r="61" ht="16.5" spans="1:6">
      <c r="A61" s="23">
        <v>52</v>
      </c>
      <c r="B61" s="23" t="s">
        <v>498</v>
      </c>
      <c r="C61" s="58">
        <v>4039</v>
      </c>
      <c r="D61" s="59">
        <v>4457</v>
      </c>
      <c r="E61" s="59">
        <v>4666</v>
      </c>
      <c r="F61" s="59">
        <v>5293</v>
      </c>
    </row>
    <row r="62" ht="16.5" spans="1:6">
      <c r="A62" s="23">
        <v>53</v>
      </c>
      <c r="B62" s="23" t="s">
        <v>499</v>
      </c>
      <c r="C62" s="58">
        <v>4017</v>
      </c>
      <c r="D62" s="59">
        <v>4473</v>
      </c>
      <c r="E62" s="59">
        <v>4701</v>
      </c>
      <c r="F62" s="59">
        <v>5385</v>
      </c>
    </row>
    <row r="63" ht="16.5" spans="1:6">
      <c r="A63" s="23">
        <v>54</v>
      </c>
      <c r="B63" s="23" t="s">
        <v>500</v>
      </c>
      <c r="C63" s="56">
        <v>5173</v>
      </c>
      <c r="D63" s="57">
        <v>5637</v>
      </c>
      <c r="E63" s="57">
        <v>5869</v>
      </c>
      <c r="F63" s="57">
        <v>6565</v>
      </c>
    </row>
    <row r="64" ht="16.5" spans="1:6">
      <c r="A64" s="23">
        <v>55</v>
      </c>
      <c r="B64" s="23" t="s">
        <v>501</v>
      </c>
      <c r="C64" s="58">
        <v>4975</v>
      </c>
      <c r="D64" s="59">
        <v>5423</v>
      </c>
      <c r="E64" s="59">
        <v>5647</v>
      </c>
      <c r="F64" s="59">
        <v>6319</v>
      </c>
    </row>
    <row r="65" ht="16.5" spans="1:6">
      <c r="A65" s="23">
        <v>56</v>
      </c>
      <c r="B65" s="23" t="s">
        <v>502</v>
      </c>
      <c r="C65" s="58">
        <v>4018</v>
      </c>
      <c r="D65" s="59">
        <v>4408</v>
      </c>
      <c r="E65" s="59">
        <v>4603</v>
      </c>
      <c r="F65" s="59">
        <v>5188</v>
      </c>
    </row>
    <row r="66" ht="16.5" spans="1:6">
      <c r="A66" s="23">
        <v>57</v>
      </c>
      <c r="B66" s="23" t="s">
        <v>503</v>
      </c>
      <c r="C66" s="58">
        <v>3404</v>
      </c>
      <c r="D66" s="59">
        <v>3802</v>
      </c>
      <c r="E66" s="59">
        <v>4001</v>
      </c>
      <c r="F66" s="59">
        <v>4598</v>
      </c>
    </row>
    <row r="67" ht="16.5" spans="1:6">
      <c r="A67" s="23">
        <v>58</v>
      </c>
      <c r="B67" s="23" t="s">
        <v>504</v>
      </c>
      <c r="C67" s="58">
        <v>3611</v>
      </c>
      <c r="D67" s="59">
        <v>3979</v>
      </c>
      <c r="E67" s="59">
        <v>4163</v>
      </c>
      <c r="F67" s="59">
        <v>4715</v>
      </c>
    </row>
    <row r="68" ht="16.5" spans="1:6">
      <c r="A68" s="23">
        <v>59</v>
      </c>
      <c r="B68" s="23" t="s">
        <v>505</v>
      </c>
      <c r="C68" s="58">
        <v>4645</v>
      </c>
      <c r="D68" s="59">
        <v>5089</v>
      </c>
      <c r="E68" s="59">
        <v>5311</v>
      </c>
      <c r="F68" s="59">
        <v>5977</v>
      </c>
    </row>
    <row r="69" ht="16.5" spans="1:6">
      <c r="A69" s="23">
        <v>60</v>
      </c>
      <c r="B69" s="23" t="s">
        <v>506</v>
      </c>
      <c r="C69" s="58">
        <v>3666</v>
      </c>
      <c r="D69" s="59">
        <v>4102</v>
      </c>
      <c r="E69" s="59">
        <v>4320</v>
      </c>
      <c r="F69" s="59">
        <v>4974</v>
      </c>
    </row>
    <row r="70" ht="16.5" spans="1:6">
      <c r="A70" s="23">
        <v>61</v>
      </c>
      <c r="B70" s="23" t="s">
        <v>507</v>
      </c>
      <c r="C70" s="58">
        <v>2383</v>
      </c>
      <c r="D70" s="59">
        <v>2725</v>
      </c>
      <c r="E70" s="59">
        <v>2896</v>
      </c>
      <c r="F70" s="59">
        <v>3409</v>
      </c>
    </row>
    <row r="71" ht="16.5" spans="1:6">
      <c r="A71" s="23">
        <v>62</v>
      </c>
      <c r="B71" s="23" t="s">
        <v>508</v>
      </c>
      <c r="C71" s="58">
        <v>3726</v>
      </c>
      <c r="D71" s="59">
        <v>4134</v>
      </c>
      <c r="E71" s="59">
        <v>4338</v>
      </c>
      <c r="F71" s="59">
        <v>4950</v>
      </c>
    </row>
    <row r="72" ht="16.5" spans="1:6">
      <c r="A72" s="23">
        <v>63</v>
      </c>
      <c r="B72" s="23" t="s">
        <v>509</v>
      </c>
      <c r="C72" s="58">
        <v>3923</v>
      </c>
      <c r="D72" s="59">
        <v>4361</v>
      </c>
      <c r="E72" s="59">
        <v>4580</v>
      </c>
      <c r="F72" s="59">
        <v>5237</v>
      </c>
    </row>
    <row r="73" ht="16.5" spans="1:6">
      <c r="A73" s="23">
        <v>64</v>
      </c>
      <c r="B73" s="23" t="s">
        <v>510</v>
      </c>
      <c r="C73" s="58">
        <v>3376</v>
      </c>
      <c r="D73" s="59">
        <v>3722</v>
      </c>
      <c r="E73" s="59">
        <v>3895</v>
      </c>
      <c r="F73" s="59">
        <v>4414</v>
      </c>
    </row>
    <row r="74" ht="16.5" spans="1:6">
      <c r="A74" s="23">
        <v>65</v>
      </c>
      <c r="B74" s="23" t="s">
        <v>511</v>
      </c>
      <c r="C74" s="58">
        <v>4851</v>
      </c>
      <c r="D74" s="59">
        <v>5351</v>
      </c>
      <c r="E74" s="59">
        <v>5601</v>
      </c>
      <c r="F74" s="59">
        <v>6351</v>
      </c>
    </row>
    <row r="75" ht="16.5" spans="1:6">
      <c r="A75" s="23">
        <v>66</v>
      </c>
      <c r="B75" s="23" t="s">
        <v>512</v>
      </c>
      <c r="C75" s="58">
        <v>4646</v>
      </c>
      <c r="D75" s="59">
        <v>5116</v>
      </c>
      <c r="E75" s="59">
        <v>5351</v>
      </c>
      <c r="F75" s="59">
        <v>6056</v>
      </c>
    </row>
    <row r="76" ht="16.5" spans="1:6">
      <c r="A76" s="23">
        <v>67</v>
      </c>
      <c r="B76" s="23" t="s">
        <v>513</v>
      </c>
      <c r="C76" s="58">
        <v>3575</v>
      </c>
      <c r="D76" s="59">
        <v>3985</v>
      </c>
      <c r="E76" s="59">
        <v>4190</v>
      </c>
      <c r="F76" s="59">
        <v>4805</v>
      </c>
    </row>
    <row r="77" ht="16.5" spans="1:6">
      <c r="A77" s="23">
        <v>68</v>
      </c>
      <c r="B77" s="23" t="s">
        <v>514</v>
      </c>
      <c r="C77" s="58">
        <v>3534</v>
      </c>
      <c r="D77" s="59">
        <v>3916</v>
      </c>
      <c r="E77" s="59">
        <v>4107</v>
      </c>
      <c r="F77" s="59">
        <v>4680</v>
      </c>
    </row>
    <row r="78" ht="16.5" spans="1:6">
      <c r="A78" s="23">
        <v>69</v>
      </c>
      <c r="B78" s="23" t="s">
        <v>515</v>
      </c>
      <c r="C78" s="58">
        <v>3885</v>
      </c>
      <c r="D78" s="59">
        <v>4297</v>
      </c>
      <c r="E78" s="59">
        <v>4503</v>
      </c>
      <c r="F78" s="59">
        <v>5121</v>
      </c>
    </row>
    <row r="79" ht="16.5" spans="1:6">
      <c r="A79" s="23">
        <v>70</v>
      </c>
      <c r="B79" s="23" t="s">
        <v>516</v>
      </c>
      <c r="C79" s="58">
        <v>5388</v>
      </c>
      <c r="D79" s="59">
        <v>5854</v>
      </c>
      <c r="E79" s="59">
        <v>6087</v>
      </c>
      <c r="F79" s="59">
        <v>6786</v>
      </c>
    </row>
    <row r="80" ht="16.5" spans="1:6">
      <c r="A80" s="23">
        <v>71</v>
      </c>
      <c r="B80" s="23" t="s">
        <v>517</v>
      </c>
      <c r="C80" s="58">
        <v>3593</v>
      </c>
      <c r="D80" s="59">
        <v>3989</v>
      </c>
      <c r="E80" s="59">
        <v>4187</v>
      </c>
      <c r="F80" s="59">
        <v>4781</v>
      </c>
    </row>
    <row r="81" ht="16.5" spans="1:6">
      <c r="A81" s="23">
        <v>72</v>
      </c>
      <c r="B81" s="23" t="s">
        <v>518</v>
      </c>
      <c r="C81" s="58">
        <v>4837</v>
      </c>
      <c r="D81" s="59">
        <v>5287</v>
      </c>
      <c r="E81" s="59">
        <v>5512</v>
      </c>
      <c r="F81" s="59">
        <v>6187</v>
      </c>
    </row>
    <row r="82" ht="16.5" spans="1:6">
      <c r="A82" s="23">
        <v>73</v>
      </c>
      <c r="B82" s="23" t="s">
        <v>519</v>
      </c>
      <c r="C82" s="56">
        <v>4083</v>
      </c>
      <c r="D82" s="57">
        <v>4493</v>
      </c>
      <c r="E82" s="57">
        <v>4698</v>
      </c>
      <c r="F82" s="57">
        <v>5313</v>
      </c>
    </row>
    <row r="83" ht="16.5" spans="1:6">
      <c r="A83" s="23">
        <v>74</v>
      </c>
      <c r="B83" s="23" t="s">
        <v>520</v>
      </c>
      <c r="C83" s="58">
        <v>4532</v>
      </c>
      <c r="D83" s="59">
        <v>4944</v>
      </c>
      <c r="E83" s="59">
        <v>5150</v>
      </c>
      <c r="F83" s="59">
        <v>5768</v>
      </c>
    </row>
    <row r="84" ht="16.5" spans="1:6">
      <c r="A84" s="23">
        <v>75</v>
      </c>
      <c r="B84" s="23" t="s">
        <v>521</v>
      </c>
      <c r="C84" s="58">
        <v>6374</v>
      </c>
      <c r="D84" s="59">
        <v>6854</v>
      </c>
      <c r="E84" s="59">
        <v>7094</v>
      </c>
      <c r="F84" s="59">
        <v>7814</v>
      </c>
    </row>
    <row r="85" ht="16.5" spans="1:6">
      <c r="A85" s="23">
        <v>76</v>
      </c>
      <c r="B85" s="23" t="s">
        <v>522</v>
      </c>
      <c r="C85" s="58">
        <v>4009</v>
      </c>
      <c r="D85" s="59">
        <v>4423</v>
      </c>
      <c r="E85" s="59">
        <v>4630</v>
      </c>
      <c r="F85" s="59">
        <v>5251</v>
      </c>
    </row>
    <row r="86" ht="16.5" spans="1:6">
      <c r="A86" s="23">
        <v>77</v>
      </c>
      <c r="B86" s="23" t="s">
        <v>523</v>
      </c>
      <c r="C86" s="58">
        <v>3773</v>
      </c>
      <c r="D86" s="59">
        <v>4181</v>
      </c>
      <c r="E86" s="59">
        <v>4385</v>
      </c>
      <c r="F86" s="59">
        <v>4997</v>
      </c>
    </row>
    <row r="87" ht="16.5" spans="1:6">
      <c r="A87" s="23">
        <v>78</v>
      </c>
      <c r="B87" s="23" t="s">
        <v>524</v>
      </c>
      <c r="C87" s="58">
        <v>3842</v>
      </c>
      <c r="D87" s="59">
        <v>4278</v>
      </c>
      <c r="E87" s="59">
        <v>4496</v>
      </c>
      <c r="F87" s="59">
        <v>5150</v>
      </c>
    </row>
    <row r="88" ht="16.5" spans="1:6">
      <c r="A88" s="23">
        <v>79</v>
      </c>
      <c r="B88" s="23" t="s">
        <v>525</v>
      </c>
      <c r="C88" s="58">
        <v>5697</v>
      </c>
      <c r="D88" s="59">
        <v>6115</v>
      </c>
      <c r="E88" s="59">
        <v>6324</v>
      </c>
      <c r="F88" s="59">
        <v>6951</v>
      </c>
    </row>
    <row r="89" ht="16.5" spans="1:6">
      <c r="A89" s="23">
        <v>83</v>
      </c>
      <c r="B89" s="23" t="s">
        <v>526</v>
      </c>
      <c r="C89" s="58">
        <v>6509</v>
      </c>
      <c r="D89" s="59">
        <v>7135</v>
      </c>
      <c r="E89" s="59">
        <v>7448</v>
      </c>
      <c r="F89" s="59">
        <v>8387</v>
      </c>
    </row>
    <row r="90" ht="16.5" spans="1:6">
      <c r="A90" s="23">
        <v>86</v>
      </c>
      <c r="B90" s="23" t="s">
        <v>527</v>
      </c>
      <c r="C90" s="58">
        <v>5806</v>
      </c>
      <c r="D90" s="59">
        <v>6334</v>
      </c>
      <c r="E90" s="59">
        <v>6598</v>
      </c>
      <c r="F90" s="59">
        <v>7390</v>
      </c>
    </row>
    <row r="91" ht="16.5" spans="1:6">
      <c r="A91" s="23">
        <v>87</v>
      </c>
      <c r="B91" s="23" t="s">
        <v>528</v>
      </c>
      <c r="C91" s="58">
        <v>8472</v>
      </c>
      <c r="D91" s="59">
        <v>9120</v>
      </c>
      <c r="E91" s="59">
        <v>9444</v>
      </c>
      <c r="F91" s="59">
        <v>10416</v>
      </c>
    </row>
    <row r="92" ht="16.5" spans="1:6">
      <c r="A92" s="23">
        <v>89</v>
      </c>
      <c r="B92" s="23" t="s">
        <v>529</v>
      </c>
      <c r="C92" s="58">
        <v>7128</v>
      </c>
      <c r="D92" s="59">
        <v>7680</v>
      </c>
      <c r="E92" s="59">
        <v>7956</v>
      </c>
      <c r="F92" s="59">
        <v>8784</v>
      </c>
    </row>
    <row r="93" ht="16.5" spans="1:6">
      <c r="A93" s="23">
        <v>91</v>
      </c>
      <c r="B93" s="23" t="s">
        <v>530</v>
      </c>
      <c r="C93" s="58">
        <v>2111</v>
      </c>
      <c r="D93" s="59">
        <v>2513</v>
      </c>
      <c r="E93" s="59">
        <v>2714</v>
      </c>
      <c r="F93" s="59">
        <v>3317</v>
      </c>
    </row>
    <row r="94" ht="16.5" spans="1:6">
      <c r="A94" s="23">
        <v>92</v>
      </c>
      <c r="B94" s="23" t="s">
        <v>531</v>
      </c>
      <c r="C94" s="58">
        <v>1578</v>
      </c>
      <c r="D94" s="59">
        <v>1920</v>
      </c>
      <c r="E94" s="59">
        <v>2091</v>
      </c>
      <c r="F94" s="59">
        <v>2604</v>
      </c>
    </row>
  </sheetData>
  <mergeCells count="4">
    <mergeCell ref="C4:F4"/>
    <mergeCell ref="A4:A5"/>
    <mergeCell ref="A19:A21"/>
    <mergeCell ref="A31:A33"/>
  </mergeCells>
  <pageMargins left="0.7" right="0.7" top="0.75" bottom="0.75" header="0.3" footer="0.3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9"/>
  <sheetViews>
    <sheetView workbookViewId="0">
      <selection activeCell="C6" sqref="C6"/>
    </sheetView>
  </sheetViews>
  <sheetFormatPr defaultColWidth="9" defaultRowHeight="15" outlineLevelCol="5"/>
  <cols>
    <col min="2" max="2" width="24.5428571428571" customWidth="1"/>
  </cols>
  <sheetData>
    <row r="1" spans="1:6">
      <c r="A1" s="41" t="s">
        <v>536</v>
      </c>
      <c r="B1" s="42"/>
      <c r="C1" s="42"/>
      <c r="D1" s="42"/>
      <c r="E1" s="42"/>
      <c r="F1" s="42"/>
    </row>
    <row r="2" spans="1:6">
      <c r="A2" s="43"/>
      <c r="B2" s="43"/>
      <c r="C2" s="43"/>
      <c r="D2" s="43"/>
      <c r="E2" s="43"/>
      <c r="F2" s="43"/>
    </row>
    <row r="3" spans="1:6">
      <c r="A3" s="43"/>
      <c r="B3" s="43">
        <f>VLOOKUP('1.Общие данные по зданию'!C7,Климатология2024!B6:F99,IF('1.Общие данные по зданию'!C17=18,2,IF('1.Общие данные по зданию'!C17=20,3,IF('1.Общие данные по зданию'!C17=21,4,5))),0)</f>
        <v>2409</v>
      </c>
      <c r="C3" s="43"/>
      <c r="D3" s="43"/>
      <c r="E3" s="43"/>
      <c r="F3" s="43"/>
    </row>
    <row r="4" ht="15.75" spans="1:6">
      <c r="A4" s="44"/>
      <c r="B4" s="44"/>
      <c r="C4" s="45" t="s">
        <v>439</v>
      </c>
      <c r="D4" s="45"/>
      <c r="E4" s="45"/>
      <c r="F4" s="45"/>
    </row>
    <row r="5" ht="18.75" spans="1:6">
      <c r="A5" s="44"/>
      <c r="B5" s="44" t="s">
        <v>42</v>
      </c>
      <c r="C5" s="39" t="s">
        <v>440</v>
      </c>
      <c r="D5" s="39" t="s">
        <v>441</v>
      </c>
      <c r="E5" s="39" t="s">
        <v>442</v>
      </c>
      <c r="F5" s="39" t="s">
        <v>443</v>
      </c>
    </row>
    <row r="6" ht="16.5" spans="1:6">
      <c r="A6" s="23">
        <v>1</v>
      </c>
      <c r="B6" s="23" t="s">
        <v>444</v>
      </c>
      <c r="C6" s="49">
        <v>2186</v>
      </c>
      <c r="D6" s="50">
        <v>2536</v>
      </c>
      <c r="E6" s="50">
        <v>2711</v>
      </c>
      <c r="F6" s="50">
        <v>3236</v>
      </c>
    </row>
    <row r="7" ht="16.5" spans="1:6">
      <c r="A7" s="23">
        <v>2</v>
      </c>
      <c r="B7" s="23" t="s">
        <v>445</v>
      </c>
      <c r="C7" s="51">
        <v>4426</v>
      </c>
      <c r="D7" s="52">
        <v>4824</v>
      </c>
      <c r="E7" s="52">
        <v>5023</v>
      </c>
      <c r="F7" s="52">
        <v>5620</v>
      </c>
    </row>
    <row r="8" ht="16.5" spans="1:6">
      <c r="A8" s="23">
        <v>3</v>
      </c>
      <c r="B8" s="23" t="s">
        <v>446</v>
      </c>
      <c r="C8" s="51">
        <v>6176</v>
      </c>
      <c r="D8" s="52">
        <v>6652</v>
      </c>
      <c r="E8" s="52">
        <v>6890</v>
      </c>
      <c r="F8" s="52">
        <v>7604</v>
      </c>
    </row>
    <row r="9" ht="16.5" spans="1:6">
      <c r="A9" s="23">
        <v>4</v>
      </c>
      <c r="B9" s="23" t="s">
        <v>447</v>
      </c>
      <c r="C9" s="51">
        <v>4986</v>
      </c>
      <c r="D9" s="52">
        <v>5458</v>
      </c>
      <c r="E9" s="52">
        <v>5694</v>
      </c>
      <c r="F9" s="52">
        <v>6402</v>
      </c>
    </row>
    <row r="10" ht="16.5" spans="1:6">
      <c r="A10" s="23">
        <v>5</v>
      </c>
      <c r="B10" s="23" t="s">
        <v>448</v>
      </c>
      <c r="C10" s="51">
        <v>2043</v>
      </c>
      <c r="D10" s="52">
        <v>2377</v>
      </c>
      <c r="E10" s="52">
        <v>2544</v>
      </c>
      <c r="F10" s="52">
        <v>3045</v>
      </c>
    </row>
    <row r="11" ht="16.5" spans="1:6">
      <c r="A11" s="23">
        <v>6</v>
      </c>
      <c r="B11" s="23" t="s">
        <v>449</v>
      </c>
      <c r="C11" s="51">
        <v>2474</v>
      </c>
      <c r="D11" s="52">
        <v>2810</v>
      </c>
      <c r="E11" s="52">
        <v>2978</v>
      </c>
      <c r="F11" s="52">
        <v>3482</v>
      </c>
    </row>
    <row r="12" ht="16.5" spans="1:6">
      <c r="A12" s="23">
        <v>7</v>
      </c>
      <c r="B12" s="23" t="s">
        <v>450</v>
      </c>
      <c r="C12" s="51">
        <v>2582</v>
      </c>
      <c r="D12" s="52">
        <v>2942</v>
      </c>
      <c r="E12" s="52">
        <v>3122</v>
      </c>
      <c r="F12" s="52">
        <v>3662</v>
      </c>
    </row>
    <row r="13" ht="16.5" spans="1:6">
      <c r="A13" s="23">
        <v>8</v>
      </c>
      <c r="B13" s="23" t="s">
        <v>451</v>
      </c>
      <c r="C13" s="51">
        <v>2919</v>
      </c>
      <c r="D13" s="52">
        <v>3277</v>
      </c>
      <c r="E13" s="52">
        <v>3456</v>
      </c>
      <c r="F13" s="52">
        <v>3993</v>
      </c>
    </row>
    <row r="14" ht="16.5" spans="1:6">
      <c r="A14" s="23">
        <v>9</v>
      </c>
      <c r="B14" s="23" t="s">
        <v>452</v>
      </c>
      <c r="C14" s="51">
        <v>2508</v>
      </c>
      <c r="D14" s="52">
        <v>2852</v>
      </c>
      <c r="E14" s="52">
        <v>3024</v>
      </c>
      <c r="F14" s="52">
        <v>3540</v>
      </c>
    </row>
    <row r="15" ht="16.5" spans="1:6">
      <c r="A15" s="23">
        <v>10</v>
      </c>
      <c r="B15" s="23" t="s">
        <v>453</v>
      </c>
      <c r="C15" s="51">
        <v>4563</v>
      </c>
      <c r="D15" s="52">
        <v>5027</v>
      </c>
      <c r="E15" s="52">
        <v>5259</v>
      </c>
      <c r="F15" s="52">
        <v>5955</v>
      </c>
    </row>
    <row r="16" ht="16.5" spans="1:6">
      <c r="A16" s="23">
        <v>11</v>
      </c>
      <c r="B16" s="23" t="s">
        <v>454</v>
      </c>
      <c r="C16" s="51">
        <v>5368</v>
      </c>
      <c r="D16" s="52">
        <v>5918</v>
      </c>
      <c r="E16" s="52">
        <v>6193</v>
      </c>
      <c r="F16" s="52">
        <v>7018</v>
      </c>
    </row>
    <row r="17" ht="16.5" spans="1:6">
      <c r="A17" s="23">
        <v>12</v>
      </c>
      <c r="B17" s="23" t="s">
        <v>455</v>
      </c>
      <c r="C17" s="51">
        <v>4363</v>
      </c>
      <c r="D17" s="52">
        <v>4809</v>
      </c>
      <c r="E17" s="52">
        <v>5032</v>
      </c>
      <c r="F17" s="52">
        <v>5701</v>
      </c>
    </row>
    <row r="18" ht="16.5" spans="1:6">
      <c r="A18" s="23">
        <v>13</v>
      </c>
      <c r="B18" s="23" t="s">
        <v>456</v>
      </c>
      <c r="C18" s="51">
        <v>4112</v>
      </c>
      <c r="D18" s="52">
        <v>4510</v>
      </c>
      <c r="E18" s="52">
        <v>4709</v>
      </c>
      <c r="F18" s="52">
        <v>5306</v>
      </c>
    </row>
    <row r="19" ht="16.5" spans="1:6">
      <c r="A19" s="23">
        <v>14</v>
      </c>
      <c r="B19" s="23" t="s">
        <v>457</v>
      </c>
      <c r="C19" s="51">
        <v>9402</v>
      </c>
      <c r="D19" s="52">
        <v>9956</v>
      </c>
      <c r="E19" s="52">
        <v>10233</v>
      </c>
      <c r="F19" s="52">
        <v>11064</v>
      </c>
    </row>
    <row r="20" ht="16.5" spans="1:6">
      <c r="A20" s="23"/>
      <c r="B20" s="23" t="s">
        <v>458</v>
      </c>
      <c r="C20" s="49">
        <v>9892</v>
      </c>
      <c r="D20" s="50">
        <v>10450</v>
      </c>
      <c r="E20" s="50">
        <v>10729</v>
      </c>
      <c r="F20" s="50">
        <v>11566</v>
      </c>
    </row>
    <row r="21" ht="16.5" spans="1:6">
      <c r="A21" s="23"/>
      <c r="B21" s="23" t="s">
        <v>459</v>
      </c>
      <c r="C21" s="51">
        <v>10351</v>
      </c>
      <c r="D21" s="52">
        <v>11023</v>
      </c>
      <c r="E21" s="52">
        <v>11359</v>
      </c>
      <c r="F21" s="52">
        <v>12367</v>
      </c>
    </row>
    <row r="22" ht="16.5" spans="1:6">
      <c r="A22" s="23">
        <v>15</v>
      </c>
      <c r="B22" s="23" t="s">
        <v>460</v>
      </c>
      <c r="C22" s="51">
        <v>2610</v>
      </c>
      <c r="D22" s="52">
        <v>2966</v>
      </c>
      <c r="E22" s="52">
        <v>3144</v>
      </c>
      <c r="F22" s="52">
        <v>3678</v>
      </c>
    </row>
    <row r="23" ht="16.5" spans="1:6">
      <c r="A23" s="23">
        <v>16</v>
      </c>
      <c r="B23" s="23" t="s">
        <v>461</v>
      </c>
      <c r="C23" s="51">
        <v>4349</v>
      </c>
      <c r="D23" s="52">
        <v>4763</v>
      </c>
      <c r="E23" s="52">
        <v>4970</v>
      </c>
      <c r="F23" s="52">
        <v>5591</v>
      </c>
    </row>
    <row r="24" ht="16.5" spans="1:6">
      <c r="A24" s="23">
        <v>17</v>
      </c>
      <c r="B24" s="23" t="s">
        <v>462</v>
      </c>
      <c r="C24" s="51">
        <v>6499</v>
      </c>
      <c r="D24" s="52">
        <v>6985</v>
      </c>
      <c r="E24" s="52">
        <v>7228</v>
      </c>
      <c r="F24" s="52">
        <v>7957</v>
      </c>
    </row>
    <row r="25" ht="16.5" spans="1:6">
      <c r="A25" s="23">
        <v>18</v>
      </c>
      <c r="B25" s="23" t="s">
        <v>463</v>
      </c>
      <c r="C25" s="51">
        <v>4602</v>
      </c>
      <c r="D25" s="52">
        <v>5042</v>
      </c>
      <c r="E25" s="52">
        <v>5262</v>
      </c>
      <c r="F25" s="52">
        <v>5922</v>
      </c>
    </row>
    <row r="26" ht="16.5" spans="1:6">
      <c r="A26" s="23">
        <v>19</v>
      </c>
      <c r="B26" s="23" t="s">
        <v>464</v>
      </c>
      <c r="C26" s="51">
        <v>5540</v>
      </c>
      <c r="D26" s="52">
        <v>6020</v>
      </c>
      <c r="E26" s="52">
        <v>6260</v>
      </c>
      <c r="F26" s="52">
        <v>6980</v>
      </c>
    </row>
    <row r="27" ht="16.5" spans="1:6">
      <c r="A27" s="23">
        <v>20</v>
      </c>
      <c r="B27" s="23"/>
      <c r="C27" s="53"/>
      <c r="D27" s="54"/>
      <c r="E27" s="54"/>
      <c r="F27" s="54"/>
    </row>
    <row r="28" ht="16.5" spans="1:6">
      <c r="A28" s="23">
        <v>21</v>
      </c>
      <c r="B28" s="23" t="s">
        <v>466</v>
      </c>
      <c r="C28" s="51">
        <v>4437</v>
      </c>
      <c r="D28" s="52">
        <v>4899</v>
      </c>
      <c r="E28" s="52">
        <v>5130</v>
      </c>
      <c r="F28" s="52">
        <v>5823</v>
      </c>
    </row>
    <row r="29" ht="16.5" spans="1:6">
      <c r="A29" s="23">
        <v>22</v>
      </c>
      <c r="B29" s="23" t="s">
        <v>467</v>
      </c>
      <c r="C29" s="51">
        <v>5043</v>
      </c>
      <c r="D29" s="52">
        <v>5513</v>
      </c>
      <c r="E29" s="52">
        <v>5748</v>
      </c>
      <c r="F29" s="52">
        <v>6453</v>
      </c>
    </row>
    <row r="30" ht="16.5" spans="1:6">
      <c r="A30" s="23">
        <v>23</v>
      </c>
      <c r="B30" s="23" t="s">
        <v>116</v>
      </c>
      <c r="C30" s="51">
        <v>2083</v>
      </c>
      <c r="D30" s="52">
        <v>2409</v>
      </c>
      <c r="E30" s="52">
        <v>2572</v>
      </c>
      <c r="F30" s="52">
        <v>3061</v>
      </c>
    </row>
    <row r="31" ht="16.5" spans="1:6">
      <c r="A31" s="23">
        <v>24</v>
      </c>
      <c r="B31" s="23" t="s">
        <v>468</v>
      </c>
      <c r="C31" s="51">
        <v>5028</v>
      </c>
      <c r="D31" s="52">
        <v>5516</v>
      </c>
      <c r="E31" s="52">
        <v>5760</v>
      </c>
      <c r="F31" s="52">
        <v>6492</v>
      </c>
    </row>
    <row r="32" ht="16.5" spans="1:6">
      <c r="A32" s="23"/>
      <c r="B32" s="23" t="s">
        <v>469</v>
      </c>
      <c r="C32" s="51">
        <v>8623</v>
      </c>
      <c r="D32" s="52">
        <v>9195</v>
      </c>
      <c r="E32" s="52">
        <v>9481</v>
      </c>
      <c r="F32" s="52">
        <v>10339</v>
      </c>
    </row>
    <row r="33" ht="16.5" spans="1:6">
      <c r="A33" s="23"/>
      <c r="B33" s="23" t="s">
        <v>470</v>
      </c>
      <c r="C33" s="51">
        <v>8543</v>
      </c>
      <c r="D33" s="52">
        <v>9109</v>
      </c>
      <c r="E33" s="52">
        <v>9392</v>
      </c>
      <c r="F33" s="52">
        <v>10241</v>
      </c>
    </row>
    <row r="34" ht="16.5" spans="1:6">
      <c r="A34" s="23">
        <v>25</v>
      </c>
      <c r="B34" s="23" t="s">
        <v>471</v>
      </c>
      <c r="C34" s="51">
        <v>4023</v>
      </c>
      <c r="D34" s="52">
        <v>4403</v>
      </c>
      <c r="E34" s="52">
        <v>4593</v>
      </c>
      <c r="F34" s="52">
        <v>5163</v>
      </c>
    </row>
    <row r="35" ht="16.5" spans="1:6">
      <c r="A35" s="23">
        <v>26</v>
      </c>
      <c r="B35" s="23" t="s">
        <v>472</v>
      </c>
      <c r="C35" s="51">
        <v>2678</v>
      </c>
      <c r="D35" s="52">
        <v>3046</v>
      </c>
      <c r="E35" s="52">
        <v>3230</v>
      </c>
      <c r="F35" s="52">
        <v>3782</v>
      </c>
    </row>
    <row r="36" ht="16.5" spans="1:6">
      <c r="A36" s="23">
        <v>27</v>
      </c>
      <c r="B36" s="23" t="s">
        <v>473</v>
      </c>
      <c r="C36" s="51">
        <v>5271</v>
      </c>
      <c r="D36" s="52">
        <v>5679</v>
      </c>
      <c r="E36" s="52">
        <v>5883</v>
      </c>
      <c r="F36" s="52">
        <v>6495</v>
      </c>
    </row>
    <row r="37" ht="16.5" spans="1:6">
      <c r="A37" s="23">
        <v>28</v>
      </c>
      <c r="B37" s="23" t="s">
        <v>474</v>
      </c>
      <c r="C37" s="51">
        <v>5614</v>
      </c>
      <c r="D37" s="52">
        <v>6056</v>
      </c>
      <c r="E37" s="52">
        <v>6277</v>
      </c>
      <c r="F37" s="52">
        <v>6940</v>
      </c>
    </row>
    <row r="38" ht="16.5" spans="1:6">
      <c r="A38" s="23">
        <v>29</v>
      </c>
      <c r="B38" s="23" t="s">
        <v>475</v>
      </c>
      <c r="C38" s="51">
        <v>5110</v>
      </c>
      <c r="D38" s="52">
        <v>5608</v>
      </c>
      <c r="E38" s="52">
        <v>5857</v>
      </c>
      <c r="F38" s="52">
        <v>6604</v>
      </c>
    </row>
    <row r="39" ht="16.5" spans="1:6">
      <c r="A39" s="23">
        <v>30</v>
      </c>
      <c r="B39" s="23" t="s">
        <v>476</v>
      </c>
      <c r="C39" s="51">
        <v>2704</v>
      </c>
      <c r="D39" s="52">
        <v>3032</v>
      </c>
      <c r="E39" s="52">
        <v>3196</v>
      </c>
      <c r="F39" s="52">
        <v>3688</v>
      </c>
    </row>
    <row r="40" ht="16.5" spans="1:6">
      <c r="A40" s="23">
        <v>31</v>
      </c>
      <c r="B40" s="23" t="s">
        <v>477</v>
      </c>
      <c r="C40" s="51">
        <v>3058</v>
      </c>
      <c r="D40" s="52">
        <v>3414</v>
      </c>
      <c r="E40" s="52">
        <v>3592</v>
      </c>
      <c r="F40" s="52">
        <v>4126</v>
      </c>
    </row>
    <row r="41" ht="16.5" spans="1:6">
      <c r="A41" s="23">
        <v>32</v>
      </c>
      <c r="B41" s="23" t="s">
        <v>478</v>
      </c>
      <c r="C41" s="51">
        <v>3403</v>
      </c>
      <c r="D41" s="52">
        <v>3805</v>
      </c>
      <c r="E41" s="52">
        <v>4006</v>
      </c>
      <c r="F41" s="52">
        <v>4609</v>
      </c>
    </row>
    <row r="42" ht="16.5" spans="1:6">
      <c r="A42" s="23">
        <v>33</v>
      </c>
      <c r="B42" s="23" t="s">
        <v>479</v>
      </c>
      <c r="C42" s="51">
        <v>4001</v>
      </c>
      <c r="D42" s="52">
        <v>4409</v>
      </c>
      <c r="E42" s="52">
        <v>4613</v>
      </c>
      <c r="F42" s="52">
        <v>5225</v>
      </c>
    </row>
    <row r="43" ht="16.5" spans="1:6">
      <c r="A43" s="23">
        <v>34</v>
      </c>
      <c r="B43" s="23" t="s">
        <v>480</v>
      </c>
      <c r="C43" s="51">
        <v>3208</v>
      </c>
      <c r="D43" s="52">
        <v>3558</v>
      </c>
      <c r="E43" s="52">
        <v>3733</v>
      </c>
      <c r="F43" s="52">
        <v>4258</v>
      </c>
    </row>
    <row r="44" ht="16.5" spans="1:6">
      <c r="A44" s="23">
        <v>35</v>
      </c>
      <c r="B44" s="23" t="s">
        <v>481</v>
      </c>
      <c r="C44" s="51">
        <v>4415</v>
      </c>
      <c r="D44" s="52">
        <v>4877</v>
      </c>
      <c r="E44" s="52">
        <v>5108</v>
      </c>
      <c r="F44" s="52">
        <v>5801</v>
      </c>
    </row>
    <row r="45" ht="16.5" spans="1:6">
      <c r="A45" s="23">
        <v>36</v>
      </c>
      <c r="B45" s="23" t="s">
        <v>482</v>
      </c>
      <c r="C45" s="51">
        <v>3215</v>
      </c>
      <c r="D45" s="52">
        <v>3561</v>
      </c>
      <c r="E45" s="52">
        <v>3734</v>
      </c>
      <c r="F45" s="52">
        <v>4253</v>
      </c>
    </row>
    <row r="46" ht="16.5" spans="1:6">
      <c r="A46" s="23">
        <v>37</v>
      </c>
      <c r="B46" s="23" t="s">
        <v>483</v>
      </c>
      <c r="C46" s="51">
        <v>4113</v>
      </c>
      <c r="D46" s="52">
        <v>4529</v>
      </c>
      <c r="E46" s="52">
        <v>4737</v>
      </c>
      <c r="F46" s="52">
        <v>5361</v>
      </c>
    </row>
    <row r="47" ht="16.5" spans="1:6">
      <c r="A47" s="23">
        <v>38</v>
      </c>
      <c r="B47" s="23" t="s">
        <v>484</v>
      </c>
      <c r="C47" s="51">
        <v>5638</v>
      </c>
      <c r="D47" s="52">
        <v>6116</v>
      </c>
      <c r="E47" s="52">
        <v>6355</v>
      </c>
      <c r="F47" s="52">
        <v>7072</v>
      </c>
    </row>
    <row r="48" ht="16.5" spans="1:6">
      <c r="A48" s="23">
        <v>39</v>
      </c>
      <c r="B48" s="23" t="s">
        <v>485</v>
      </c>
      <c r="C48" s="51">
        <v>2484</v>
      </c>
      <c r="D48" s="52">
        <v>2856</v>
      </c>
      <c r="E48" s="52">
        <v>3042</v>
      </c>
      <c r="F48" s="52">
        <v>3600</v>
      </c>
    </row>
    <row r="49" ht="16.5" spans="1:6">
      <c r="A49" s="23">
        <v>40</v>
      </c>
      <c r="B49" s="23" t="s">
        <v>486</v>
      </c>
      <c r="C49" s="51">
        <v>3679</v>
      </c>
      <c r="D49" s="52">
        <v>4095</v>
      </c>
      <c r="E49" s="52">
        <v>4303</v>
      </c>
      <c r="F49" s="52">
        <v>4927</v>
      </c>
    </row>
    <row r="50" ht="16.5" spans="1:6">
      <c r="A50" s="23">
        <v>41</v>
      </c>
      <c r="B50" s="23" t="s">
        <v>487</v>
      </c>
      <c r="C50" s="51">
        <v>5153</v>
      </c>
      <c r="D50" s="52">
        <v>5687</v>
      </c>
      <c r="E50" s="52">
        <v>5954</v>
      </c>
      <c r="F50" s="52">
        <v>6755</v>
      </c>
    </row>
    <row r="51" ht="16.5" spans="1:6">
      <c r="A51" s="23">
        <v>42</v>
      </c>
      <c r="B51" s="23" t="s">
        <v>488</v>
      </c>
      <c r="C51" s="51">
        <v>5382</v>
      </c>
      <c r="D51" s="52">
        <v>5864</v>
      </c>
      <c r="E51" s="52">
        <v>6105</v>
      </c>
      <c r="F51" s="52">
        <v>6828</v>
      </c>
    </row>
    <row r="52" ht="16.5" spans="1:6">
      <c r="A52" s="23">
        <v>43</v>
      </c>
      <c r="B52" s="23" t="s">
        <v>489</v>
      </c>
      <c r="C52" s="51">
        <v>4728</v>
      </c>
      <c r="D52" s="52">
        <v>5192</v>
      </c>
      <c r="E52" s="52">
        <v>5424</v>
      </c>
      <c r="F52" s="52">
        <v>6120</v>
      </c>
    </row>
    <row r="53" ht="16.5" spans="1:6">
      <c r="A53" s="23">
        <v>44</v>
      </c>
      <c r="B53" s="23" t="s">
        <v>490</v>
      </c>
      <c r="C53" s="51">
        <v>4360</v>
      </c>
      <c r="D53" s="52">
        <v>4836</v>
      </c>
      <c r="E53" s="52">
        <v>5074</v>
      </c>
      <c r="F53" s="52">
        <v>5788</v>
      </c>
    </row>
    <row r="54" ht="16.5" spans="1:6">
      <c r="A54" s="23">
        <v>45</v>
      </c>
      <c r="B54" s="23" t="s">
        <v>491</v>
      </c>
      <c r="C54" s="51">
        <v>4691</v>
      </c>
      <c r="D54" s="52">
        <v>5103</v>
      </c>
      <c r="E54" s="52">
        <v>5309</v>
      </c>
      <c r="F54" s="52">
        <v>5927</v>
      </c>
    </row>
    <row r="55" ht="16.5" spans="1:6">
      <c r="A55" s="23">
        <v>46</v>
      </c>
      <c r="B55" s="23" t="s">
        <v>492</v>
      </c>
      <c r="C55" s="51">
        <v>3151</v>
      </c>
      <c r="D55" s="52">
        <v>3495</v>
      </c>
      <c r="E55" s="52">
        <v>3667</v>
      </c>
      <c r="F55" s="52">
        <v>4183</v>
      </c>
    </row>
    <row r="56" ht="16.5" spans="1:6">
      <c r="A56" s="23">
        <v>47</v>
      </c>
      <c r="B56" s="23" t="s">
        <v>493</v>
      </c>
      <c r="C56" s="51">
        <v>3752</v>
      </c>
      <c r="D56" s="52">
        <v>4202</v>
      </c>
      <c r="E56" s="52">
        <v>4427</v>
      </c>
      <c r="F56" s="52">
        <v>5102</v>
      </c>
    </row>
    <row r="57" ht="16.5" spans="1:6">
      <c r="A57" s="23">
        <v>48</v>
      </c>
      <c r="B57" s="23" t="s">
        <v>494</v>
      </c>
      <c r="C57" s="51">
        <v>3536</v>
      </c>
      <c r="D57" s="52">
        <v>3892</v>
      </c>
      <c r="E57" s="52">
        <v>4070</v>
      </c>
      <c r="F57" s="52">
        <v>4604</v>
      </c>
    </row>
    <row r="58" ht="16.5" spans="1:6">
      <c r="A58" s="23">
        <v>49</v>
      </c>
      <c r="B58" s="23" t="s">
        <v>495</v>
      </c>
      <c r="C58" s="51">
        <v>7174</v>
      </c>
      <c r="D58" s="52">
        <v>7702</v>
      </c>
      <c r="E58" s="52">
        <v>7966</v>
      </c>
      <c r="F58" s="52">
        <v>8758</v>
      </c>
    </row>
    <row r="59" ht="16.5" spans="1:6">
      <c r="A59" s="23">
        <v>50</v>
      </c>
      <c r="B59" s="23" t="s">
        <v>496</v>
      </c>
      <c r="C59" s="51">
        <v>3644</v>
      </c>
      <c r="D59" s="52">
        <v>4058</v>
      </c>
      <c r="E59" s="52">
        <v>4265</v>
      </c>
      <c r="F59" s="52">
        <v>4886</v>
      </c>
    </row>
    <row r="60" ht="16.5" spans="1:6">
      <c r="A60" s="23">
        <v>51</v>
      </c>
      <c r="B60" s="23" t="s">
        <v>497</v>
      </c>
      <c r="C60" s="51">
        <v>5716</v>
      </c>
      <c r="D60" s="52">
        <v>6236</v>
      </c>
      <c r="E60" s="52">
        <v>6496</v>
      </c>
      <c r="F60" s="52">
        <v>7276</v>
      </c>
    </row>
    <row r="61" ht="16.5" spans="1:6">
      <c r="A61" s="23">
        <v>52</v>
      </c>
      <c r="B61" s="23" t="s">
        <v>498</v>
      </c>
      <c r="C61" s="51">
        <v>3984</v>
      </c>
      <c r="D61" s="52">
        <v>4400</v>
      </c>
      <c r="E61" s="52">
        <v>4608</v>
      </c>
      <c r="F61" s="52">
        <v>5232</v>
      </c>
    </row>
    <row r="62" ht="16.5" spans="1:6">
      <c r="A62" s="23">
        <v>53</v>
      </c>
      <c r="B62" s="23" t="s">
        <v>499</v>
      </c>
      <c r="C62" s="51">
        <v>3915</v>
      </c>
      <c r="D62" s="52">
        <v>4377</v>
      </c>
      <c r="E62" s="52">
        <v>4608</v>
      </c>
      <c r="F62" s="52">
        <v>5301</v>
      </c>
    </row>
    <row r="63" ht="16.5" spans="1:6">
      <c r="A63" s="23">
        <v>54</v>
      </c>
      <c r="B63" s="23" t="s">
        <v>500</v>
      </c>
      <c r="C63" s="51">
        <v>5288</v>
      </c>
      <c r="D63" s="52">
        <v>5772</v>
      </c>
      <c r="E63" s="52">
        <v>6014</v>
      </c>
      <c r="F63" s="52">
        <v>6740</v>
      </c>
    </row>
    <row r="64" ht="16.5" spans="1:6">
      <c r="A64" s="23">
        <v>55</v>
      </c>
      <c r="B64" s="23" t="s">
        <v>501</v>
      </c>
      <c r="C64" s="49">
        <v>5304</v>
      </c>
      <c r="D64" s="50">
        <v>5772</v>
      </c>
      <c r="E64" s="50">
        <v>6006</v>
      </c>
      <c r="F64" s="50">
        <v>6708</v>
      </c>
    </row>
    <row r="65" ht="16.5" spans="1:6">
      <c r="A65" s="23">
        <v>56</v>
      </c>
      <c r="B65" s="23" t="s">
        <v>502</v>
      </c>
      <c r="C65" s="51">
        <v>4368</v>
      </c>
      <c r="D65" s="52">
        <v>4734</v>
      </c>
      <c r="E65" s="52">
        <v>4917</v>
      </c>
      <c r="F65" s="52">
        <v>5466</v>
      </c>
    </row>
    <row r="66" ht="16.5" spans="1:6">
      <c r="A66" s="23">
        <v>57</v>
      </c>
      <c r="B66" s="23" t="s">
        <v>503</v>
      </c>
      <c r="C66" s="51">
        <v>3379</v>
      </c>
      <c r="D66" s="52">
        <v>3753</v>
      </c>
      <c r="E66" s="52">
        <v>3940</v>
      </c>
      <c r="F66" s="52">
        <v>4501</v>
      </c>
    </row>
    <row r="67" ht="16.5" spans="1:6">
      <c r="A67" s="23">
        <v>58</v>
      </c>
      <c r="B67" s="23" t="s">
        <v>504</v>
      </c>
      <c r="C67" s="51">
        <v>3861</v>
      </c>
      <c r="D67" s="52">
        <v>4231</v>
      </c>
      <c r="E67" s="52">
        <v>4416</v>
      </c>
      <c r="F67" s="52">
        <v>4971</v>
      </c>
    </row>
    <row r="68" ht="16.5" spans="1:6">
      <c r="A68" s="23">
        <v>59</v>
      </c>
      <c r="B68" s="23" t="s">
        <v>505</v>
      </c>
      <c r="C68" s="51">
        <v>4835</v>
      </c>
      <c r="D68" s="52">
        <v>5313</v>
      </c>
      <c r="E68" s="52">
        <v>5552</v>
      </c>
      <c r="F68" s="52">
        <v>6269</v>
      </c>
    </row>
    <row r="69" ht="16.5" spans="1:6">
      <c r="A69" s="23">
        <v>60</v>
      </c>
      <c r="B69" s="23" t="s">
        <v>506</v>
      </c>
      <c r="C69" s="51">
        <v>3587</v>
      </c>
      <c r="D69" s="52">
        <v>4039</v>
      </c>
      <c r="E69" s="52">
        <v>4265</v>
      </c>
      <c r="F69" s="52">
        <v>4943</v>
      </c>
    </row>
    <row r="70" ht="16.5" spans="1:6">
      <c r="A70" s="23">
        <v>61</v>
      </c>
      <c r="B70" s="23" t="s">
        <v>507</v>
      </c>
      <c r="C70" s="51">
        <v>2669</v>
      </c>
      <c r="D70" s="52">
        <v>3027</v>
      </c>
      <c r="E70" s="52">
        <v>3206</v>
      </c>
      <c r="F70" s="52">
        <v>3743</v>
      </c>
    </row>
    <row r="71" ht="16.5" spans="1:6">
      <c r="A71" s="23">
        <v>62</v>
      </c>
      <c r="B71" s="23" t="s">
        <v>508</v>
      </c>
      <c r="C71" s="51">
        <v>3768</v>
      </c>
      <c r="D71" s="52">
        <v>4168</v>
      </c>
      <c r="E71" s="52">
        <v>4368</v>
      </c>
      <c r="F71" s="52">
        <v>4968</v>
      </c>
    </row>
    <row r="72" ht="16.5" spans="1:6">
      <c r="A72" s="23">
        <v>63</v>
      </c>
      <c r="B72" s="23" t="s">
        <v>509</v>
      </c>
      <c r="C72" s="51">
        <v>4234</v>
      </c>
      <c r="D72" s="52">
        <v>4656</v>
      </c>
      <c r="E72" s="52">
        <v>4867</v>
      </c>
      <c r="F72" s="52">
        <v>5500</v>
      </c>
    </row>
    <row r="73" ht="16.5" spans="1:6">
      <c r="A73" s="23">
        <v>64</v>
      </c>
      <c r="B73" s="23" t="s">
        <v>510</v>
      </c>
      <c r="C73" s="51">
        <v>3703</v>
      </c>
      <c r="D73" s="52">
        <v>4067</v>
      </c>
      <c r="E73" s="52">
        <v>4249</v>
      </c>
      <c r="F73" s="52">
        <v>4795</v>
      </c>
    </row>
    <row r="74" ht="16.5" spans="1:6">
      <c r="A74" s="23">
        <v>65</v>
      </c>
      <c r="B74" s="23" t="s">
        <v>511</v>
      </c>
      <c r="C74" s="51">
        <v>4942</v>
      </c>
      <c r="D74" s="52">
        <v>5440</v>
      </c>
      <c r="E74" s="52">
        <v>5689</v>
      </c>
      <c r="F74" s="52">
        <v>6436</v>
      </c>
    </row>
    <row r="75" ht="16.5" spans="1:6">
      <c r="A75" s="23">
        <v>66</v>
      </c>
      <c r="B75" s="23" t="s">
        <v>512</v>
      </c>
      <c r="C75" s="51">
        <v>4805</v>
      </c>
      <c r="D75" s="52">
        <v>5293</v>
      </c>
      <c r="E75" s="52">
        <v>5537</v>
      </c>
      <c r="F75" s="52">
        <v>6269</v>
      </c>
    </row>
    <row r="76" ht="16.5" spans="1:6">
      <c r="A76" s="23">
        <v>67</v>
      </c>
      <c r="B76" s="23" t="s">
        <v>513</v>
      </c>
      <c r="C76" s="51">
        <v>3532</v>
      </c>
      <c r="D76" s="52">
        <v>3958</v>
      </c>
      <c r="E76" s="52">
        <v>4171</v>
      </c>
      <c r="F76" s="52">
        <v>4810</v>
      </c>
    </row>
    <row r="77" ht="16.5" spans="1:6">
      <c r="A77" s="23">
        <v>68</v>
      </c>
      <c r="B77" s="23" t="s">
        <v>514</v>
      </c>
      <c r="C77" s="51">
        <v>3626</v>
      </c>
      <c r="D77" s="52">
        <v>3992</v>
      </c>
      <c r="E77" s="52">
        <v>4175</v>
      </c>
      <c r="F77" s="52">
        <v>4724</v>
      </c>
    </row>
    <row r="78" ht="16.5" spans="1:6">
      <c r="A78" s="23">
        <v>69</v>
      </c>
      <c r="B78" s="23" t="s">
        <v>515</v>
      </c>
      <c r="C78" s="51">
        <v>3916</v>
      </c>
      <c r="D78" s="52">
        <v>4344</v>
      </c>
      <c r="E78" s="52">
        <v>4558</v>
      </c>
      <c r="F78" s="52">
        <v>5200</v>
      </c>
    </row>
    <row r="79" ht="16.5" spans="1:6">
      <c r="A79" s="23">
        <v>70</v>
      </c>
      <c r="B79" s="23" t="s">
        <v>516</v>
      </c>
      <c r="C79" s="51">
        <v>5432</v>
      </c>
      <c r="D79" s="52">
        <v>5910</v>
      </c>
      <c r="E79" s="52">
        <v>6149</v>
      </c>
      <c r="F79" s="52">
        <v>6866</v>
      </c>
    </row>
    <row r="80" ht="16.5" spans="1:6">
      <c r="A80" s="23">
        <v>71</v>
      </c>
      <c r="B80" s="23" t="s">
        <v>517</v>
      </c>
      <c r="C80" s="51">
        <v>3667</v>
      </c>
      <c r="D80" s="52">
        <v>4069</v>
      </c>
      <c r="E80" s="52">
        <v>4270</v>
      </c>
      <c r="F80" s="52">
        <v>4873</v>
      </c>
    </row>
    <row r="81" ht="16.5" spans="1:6">
      <c r="A81" s="23">
        <v>72</v>
      </c>
      <c r="B81" s="23" t="s">
        <v>518</v>
      </c>
      <c r="C81" s="51">
        <v>4914</v>
      </c>
      <c r="D81" s="52">
        <v>5372</v>
      </c>
      <c r="E81" s="52">
        <v>5601</v>
      </c>
      <c r="F81" s="52">
        <v>6288</v>
      </c>
    </row>
    <row r="82" ht="16.5" spans="1:6">
      <c r="A82" s="23">
        <v>73</v>
      </c>
      <c r="B82" s="23" t="s">
        <v>519</v>
      </c>
      <c r="C82" s="51">
        <v>4204</v>
      </c>
      <c r="D82" s="52">
        <v>4618</v>
      </c>
      <c r="E82" s="52">
        <v>4825</v>
      </c>
      <c r="F82" s="52">
        <v>5446</v>
      </c>
    </row>
    <row r="83" ht="16.5" spans="1:6">
      <c r="A83" s="23">
        <v>74</v>
      </c>
      <c r="B83" s="23" t="s">
        <v>520</v>
      </c>
      <c r="C83" s="51">
        <v>4613</v>
      </c>
      <c r="D83" s="52">
        <v>5033</v>
      </c>
      <c r="E83" s="52">
        <v>5243</v>
      </c>
      <c r="F83" s="52">
        <v>5873</v>
      </c>
    </row>
    <row r="84" ht="16.5" spans="1:6">
      <c r="A84" s="23">
        <v>75</v>
      </c>
      <c r="B84" s="23" t="s">
        <v>521</v>
      </c>
      <c r="C84" s="51">
        <v>6529</v>
      </c>
      <c r="D84" s="52">
        <v>7017</v>
      </c>
      <c r="E84" s="52">
        <v>7261</v>
      </c>
      <c r="F84" s="52">
        <v>7993</v>
      </c>
    </row>
    <row r="85" ht="16.5" spans="1:6">
      <c r="A85" s="23">
        <v>76</v>
      </c>
      <c r="B85" s="23" t="s">
        <v>522</v>
      </c>
      <c r="C85" s="51">
        <v>4244</v>
      </c>
      <c r="D85" s="52">
        <v>4690</v>
      </c>
      <c r="E85" s="52">
        <v>4913</v>
      </c>
      <c r="F85" s="52">
        <v>5582</v>
      </c>
    </row>
    <row r="86" ht="16.5" spans="1:6">
      <c r="A86" s="23">
        <v>77</v>
      </c>
      <c r="B86" s="23" t="s">
        <v>523</v>
      </c>
      <c r="C86" s="51">
        <v>3644</v>
      </c>
      <c r="D86" s="52">
        <v>4058</v>
      </c>
      <c r="E86" s="52">
        <v>4265</v>
      </c>
      <c r="F86" s="52">
        <v>4886</v>
      </c>
    </row>
    <row r="87" ht="16.5" spans="1:6">
      <c r="A87" s="23">
        <v>78</v>
      </c>
      <c r="B87" s="23" t="s">
        <v>524</v>
      </c>
      <c r="C87" s="51">
        <v>3752</v>
      </c>
      <c r="D87" s="52">
        <v>4202</v>
      </c>
      <c r="E87" s="52">
        <v>4427</v>
      </c>
      <c r="F87" s="52">
        <v>5102</v>
      </c>
    </row>
    <row r="88" ht="16.5" spans="1:6">
      <c r="A88" s="23">
        <v>79</v>
      </c>
      <c r="B88" s="23" t="s">
        <v>525</v>
      </c>
      <c r="C88" s="51">
        <v>5477</v>
      </c>
      <c r="D88" s="52">
        <v>5875</v>
      </c>
      <c r="E88" s="52">
        <v>6074</v>
      </c>
      <c r="F88" s="52">
        <v>6671</v>
      </c>
    </row>
    <row r="89" ht="16.5" spans="1:6">
      <c r="A89" s="23">
        <v>83</v>
      </c>
      <c r="B89" s="23" t="s">
        <v>537</v>
      </c>
      <c r="C89" s="51">
        <v>2623</v>
      </c>
      <c r="D89" s="52">
        <v>2947</v>
      </c>
      <c r="E89" s="52">
        <v>3109</v>
      </c>
      <c r="F89" s="52">
        <v>3595</v>
      </c>
    </row>
    <row r="90" ht="16.5" spans="1:6">
      <c r="A90" s="23">
        <v>86</v>
      </c>
      <c r="B90" s="23" t="s">
        <v>538</v>
      </c>
      <c r="C90" s="51">
        <v>2354</v>
      </c>
      <c r="D90" s="52">
        <v>2626</v>
      </c>
      <c r="E90" s="52">
        <v>2762</v>
      </c>
      <c r="F90" s="52">
        <v>3170</v>
      </c>
    </row>
    <row r="91" ht="16.5" spans="1:6">
      <c r="A91" s="23">
        <v>87</v>
      </c>
      <c r="B91" s="23" t="s">
        <v>530</v>
      </c>
      <c r="C91" s="51">
        <v>1670</v>
      </c>
      <c r="D91" s="52">
        <v>2018</v>
      </c>
      <c r="E91" s="52">
        <v>2192</v>
      </c>
      <c r="F91" s="52">
        <v>2714</v>
      </c>
    </row>
    <row r="92" ht="16.5" spans="1:6">
      <c r="A92" s="23">
        <v>89</v>
      </c>
      <c r="B92" s="23" t="s">
        <v>526</v>
      </c>
      <c r="C92" s="51">
        <v>6752</v>
      </c>
      <c r="D92" s="52">
        <v>7370</v>
      </c>
      <c r="E92" s="52">
        <v>7679</v>
      </c>
      <c r="F92" s="52">
        <v>8606</v>
      </c>
    </row>
    <row r="93" ht="16.5" spans="1:6">
      <c r="A93" s="23">
        <v>91</v>
      </c>
      <c r="B93" s="23" t="s">
        <v>527</v>
      </c>
      <c r="C93" s="51">
        <v>6172</v>
      </c>
      <c r="D93" s="52">
        <v>6722</v>
      </c>
      <c r="E93" s="52">
        <v>6997</v>
      </c>
      <c r="F93" s="52">
        <v>7822</v>
      </c>
    </row>
    <row r="94" ht="16.5" spans="1:6">
      <c r="A94" s="23">
        <v>92</v>
      </c>
      <c r="B94" s="23" t="s">
        <v>528</v>
      </c>
      <c r="C94" s="51">
        <v>8278</v>
      </c>
      <c r="D94" s="52">
        <v>8952</v>
      </c>
      <c r="E94" s="52">
        <v>9289</v>
      </c>
      <c r="F94" s="52">
        <v>10300</v>
      </c>
    </row>
    <row r="95" ht="16.5" spans="1:6">
      <c r="A95" s="55">
        <v>93</v>
      </c>
      <c r="B95" s="23" t="s">
        <v>529</v>
      </c>
      <c r="C95" s="51">
        <v>7510</v>
      </c>
      <c r="D95" s="52">
        <v>8098</v>
      </c>
      <c r="E95" s="52">
        <v>8392</v>
      </c>
      <c r="F95" s="52">
        <v>9274</v>
      </c>
    </row>
    <row r="96" ht="16.5" spans="1:6">
      <c r="A96" s="55">
        <v>94</v>
      </c>
      <c r="B96" s="23" t="s">
        <v>539</v>
      </c>
      <c r="C96" s="51">
        <v>2094</v>
      </c>
      <c r="D96" s="52">
        <v>2388</v>
      </c>
      <c r="E96" s="52">
        <v>2535</v>
      </c>
      <c r="F96" s="52">
        <v>2976</v>
      </c>
    </row>
    <row r="97" ht="16.5" spans="1:6">
      <c r="A97" s="55">
        <v>95</v>
      </c>
      <c r="B97" s="23" t="s">
        <v>540</v>
      </c>
      <c r="C97" s="51">
        <v>2251</v>
      </c>
      <c r="D97" s="52">
        <v>2503</v>
      </c>
      <c r="E97" s="52">
        <v>2629</v>
      </c>
      <c r="F97" s="52">
        <v>3007</v>
      </c>
    </row>
    <row r="98" ht="16.5" spans="1:6">
      <c r="A98" s="55">
        <v>96</v>
      </c>
      <c r="B98" s="23" t="s">
        <v>531</v>
      </c>
      <c r="C98" s="51">
        <v>1670</v>
      </c>
      <c r="D98" s="52">
        <v>2018</v>
      </c>
      <c r="E98" s="52">
        <v>2192</v>
      </c>
      <c r="F98" s="52">
        <v>2714</v>
      </c>
    </row>
    <row r="99" ht="16.5" spans="1:6">
      <c r="A99" s="55">
        <v>97</v>
      </c>
      <c r="B99" s="24" t="s">
        <v>465</v>
      </c>
      <c r="C99" s="51">
        <v>2516</v>
      </c>
      <c r="D99" s="52">
        <v>2882</v>
      </c>
      <c r="E99" s="52">
        <v>3065</v>
      </c>
      <c r="F99" s="52">
        <v>3614</v>
      </c>
    </row>
  </sheetData>
  <mergeCells count="4">
    <mergeCell ref="C4:F4"/>
    <mergeCell ref="A4:A5"/>
    <mergeCell ref="A19:A21"/>
    <mergeCell ref="A31:A33"/>
  </mergeCells>
  <pageMargins left="0.7" right="0.7" top="0.75" bottom="0.75" header="0.3" footer="0.3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9"/>
  <sheetViews>
    <sheetView topLeftCell="A7" workbookViewId="0">
      <selection activeCell="J12" sqref="J12"/>
    </sheetView>
  </sheetViews>
  <sheetFormatPr defaultColWidth="9" defaultRowHeight="15" outlineLevelCol="5"/>
  <cols>
    <col min="2" max="2" width="45.1809523809524" customWidth="1"/>
  </cols>
  <sheetData>
    <row r="1" spans="1:6">
      <c r="A1" s="41" t="s">
        <v>541</v>
      </c>
      <c r="B1" s="42"/>
      <c r="C1" s="42"/>
      <c r="D1" s="42"/>
      <c r="E1" s="42"/>
      <c r="F1" s="42"/>
    </row>
    <row r="2" spans="1:6">
      <c r="A2" s="43"/>
      <c r="B2" s="43"/>
      <c r="C2" s="43"/>
      <c r="D2" s="43"/>
      <c r="E2" s="43"/>
      <c r="F2" s="43"/>
    </row>
    <row r="3" spans="1:6">
      <c r="A3" s="43"/>
      <c r="B3" s="43">
        <f>VLOOKUP('1.Общие данные по зданию'!C7,Климатология2025!B6:F99,IF('1.Общие данные по зданию'!C17=18,2,IF('1.Общие данные по зданию'!C17=20,3,IF('1.Общие данные по зданию'!C17=21,4,5))),0)</f>
        <v>1851</v>
      </c>
      <c r="C3" s="43"/>
      <c r="D3" s="43"/>
      <c r="E3" s="43"/>
      <c r="F3" s="43"/>
    </row>
    <row r="4" ht="15.75" spans="1:6">
      <c r="A4" s="44"/>
      <c r="B4" s="44"/>
      <c r="C4" s="45" t="s">
        <v>439</v>
      </c>
      <c r="D4" s="45"/>
      <c r="E4" s="45"/>
      <c r="F4" s="45"/>
    </row>
    <row r="5" ht="18" spans="1:6">
      <c r="A5" s="44"/>
      <c r="B5" s="44" t="s">
        <v>42</v>
      </c>
      <c r="C5" s="39" t="s">
        <v>440</v>
      </c>
      <c r="D5" s="39" t="s">
        <v>441</v>
      </c>
      <c r="E5" s="39" t="s">
        <v>442</v>
      </c>
      <c r="F5" s="39" t="s">
        <v>443</v>
      </c>
    </row>
    <row r="6" ht="15.75" spans="1:6">
      <c r="A6" s="23">
        <v>1</v>
      </c>
      <c r="B6" s="46" t="s">
        <v>444</v>
      </c>
      <c r="C6" s="47">
        <v>2229</v>
      </c>
      <c r="D6" s="47">
        <v>2593</v>
      </c>
      <c r="E6" s="47">
        <v>2775</v>
      </c>
      <c r="F6" s="47">
        <v>3321</v>
      </c>
    </row>
    <row r="7" ht="15.75" spans="1:6">
      <c r="A7" s="23">
        <v>2</v>
      </c>
      <c r="B7" s="46" t="s">
        <v>445</v>
      </c>
      <c r="C7" s="47">
        <v>3888</v>
      </c>
      <c r="D7" s="47">
        <v>4288</v>
      </c>
      <c r="E7" s="47">
        <v>4488</v>
      </c>
      <c r="F7" s="47">
        <v>5088</v>
      </c>
    </row>
    <row r="8" ht="15.75" spans="1:6">
      <c r="A8" s="23">
        <v>3</v>
      </c>
      <c r="B8" s="46" t="s">
        <v>446</v>
      </c>
      <c r="C8" s="47">
        <v>6046</v>
      </c>
      <c r="D8" s="47">
        <v>6524</v>
      </c>
      <c r="E8" s="47">
        <v>6763</v>
      </c>
      <c r="F8" s="47">
        <v>7480</v>
      </c>
    </row>
    <row r="9" ht="15.75" spans="1:6">
      <c r="A9" s="23">
        <v>4</v>
      </c>
      <c r="B9" s="46" t="s">
        <v>447</v>
      </c>
      <c r="C9" s="47">
        <v>4825</v>
      </c>
      <c r="D9" s="47">
        <v>5303</v>
      </c>
      <c r="E9" s="47">
        <v>5542</v>
      </c>
      <c r="F9" s="47">
        <v>6259</v>
      </c>
    </row>
    <row r="10" ht="15.75" spans="1:6">
      <c r="A10" s="23">
        <v>5</v>
      </c>
      <c r="B10" s="46" t="s">
        <v>448</v>
      </c>
      <c r="C10" s="47">
        <v>1992</v>
      </c>
      <c r="D10" s="47">
        <v>2324</v>
      </c>
      <c r="E10" s="47">
        <v>2490</v>
      </c>
      <c r="F10" s="47">
        <v>2988</v>
      </c>
    </row>
    <row r="11" ht="15.75" spans="1:6">
      <c r="A11" s="23">
        <v>6</v>
      </c>
      <c r="B11" s="46" t="s">
        <v>449</v>
      </c>
      <c r="C11" s="47">
        <v>2424</v>
      </c>
      <c r="D11" s="47">
        <v>2770</v>
      </c>
      <c r="E11" s="47">
        <v>2943</v>
      </c>
      <c r="F11" s="47">
        <v>3462</v>
      </c>
    </row>
    <row r="12" ht="15.75" spans="1:6">
      <c r="A12" s="23">
        <v>7</v>
      </c>
      <c r="B12" s="46" t="s">
        <v>450</v>
      </c>
      <c r="C12" s="47">
        <v>2542</v>
      </c>
      <c r="D12" s="47">
        <v>2918</v>
      </c>
      <c r="E12" s="47">
        <v>3106</v>
      </c>
      <c r="F12" s="47">
        <v>3670</v>
      </c>
    </row>
    <row r="13" ht="15.75" spans="1:6">
      <c r="A13" s="23">
        <v>8</v>
      </c>
      <c r="B13" s="46" t="s">
        <v>451</v>
      </c>
      <c r="C13" s="47">
        <v>2731</v>
      </c>
      <c r="D13" s="47">
        <v>3097</v>
      </c>
      <c r="E13" s="47">
        <v>3280</v>
      </c>
      <c r="F13" s="47">
        <v>3829</v>
      </c>
    </row>
    <row r="14" ht="15.75" spans="1:6">
      <c r="A14" s="23">
        <v>9</v>
      </c>
      <c r="B14" s="46" t="s">
        <v>452</v>
      </c>
      <c r="C14" s="47">
        <v>2569</v>
      </c>
      <c r="D14" s="47">
        <v>2955</v>
      </c>
      <c r="E14" s="47">
        <v>3148</v>
      </c>
      <c r="F14" s="47">
        <v>3727</v>
      </c>
    </row>
    <row r="15" ht="15.75" spans="1:6">
      <c r="A15" s="23">
        <v>10</v>
      </c>
      <c r="B15" s="46" t="s">
        <v>453</v>
      </c>
      <c r="C15" s="47">
        <v>4161</v>
      </c>
      <c r="D15" s="47">
        <v>4627</v>
      </c>
      <c r="E15" s="47">
        <v>4860</v>
      </c>
      <c r="F15" s="47">
        <v>5559</v>
      </c>
    </row>
    <row r="16" ht="15.75" spans="1:6">
      <c r="A16" s="23">
        <v>11</v>
      </c>
      <c r="B16" s="46" t="s">
        <v>454</v>
      </c>
      <c r="C16" s="47">
        <v>5013</v>
      </c>
      <c r="D16" s="47">
        <v>5545</v>
      </c>
      <c r="E16" s="47">
        <v>5811</v>
      </c>
      <c r="F16" s="47">
        <v>6609</v>
      </c>
    </row>
    <row r="17" ht="15.75" spans="1:6">
      <c r="A17" s="23">
        <v>12</v>
      </c>
      <c r="B17" s="46" t="s">
        <v>455</v>
      </c>
      <c r="C17" s="47">
        <v>3637</v>
      </c>
      <c r="D17" s="47">
        <v>4031</v>
      </c>
      <c r="E17" s="47">
        <v>4228</v>
      </c>
      <c r="F17" s="47">
        <v>4819</v>
      </c>
    </row>
    <row r="18" ht="15.75" spans="1:6">
      <c r="A18" s="23">
        <v>13</v>
      </c>
      <c r="B18" s="46" t="s">
        <v>456</v>
      </c>
      <c r="C18" s="47">
        <v>3507</v>
      </c>
      <c r="D18" s="47">
        <v>3901</v>
      </c>
      <c r="E18" s="47">
        <v>4098</v>
      </c>
      <c r="F18" s="47">
        <v>4689</v>
      </c>
    </row>
    <row r="19" ht="15.75" spans="1:6">
      <c r="A19" s="23">
        <v>14</v>
      </c>
      <c r="B19" s="46" t="s">
        <v>457</v>
      </c>
      <c r="C19" s="47">
        <v>9352</v>
      </c>
      <c r="D19" s="47">
        <v>9886</v>
      </c>
      <c r="E19" s="47">
        <v>10153</v>
      </c>
      <c r="F19" s="47">
        <v>10954</v>
      </c>
    </row>
    <row r="20" ht="15.75" spans="1:6">
      <c r="A20" s="23"/>
      <c r="B20" s="46" t="s">
        <v>458</v>
      </c>
      <c r="C20" s="47">
        <v>9527</v>
      </c>
      <c r="D20" s="47">
        <v>10021</v>
      </c>
      <c r="E20" s="47">
        <v>10268</v>
      </c>
      <c r="F20" s="47">
        <v>11009</v>
      </c>
    </row>
    <row r="21" ht="15.75" spans="1:6">
      <c r="A21" s="23"/>
      <c r="B21" s="46" t="s">
        <v>459</v>
      </c>
      <c r="C21" s="47">
        <v>10165</v>
      </c>
      <c r="D21" s="47">
        <v>10745</v>
      </c>
      <c r="E21" s="47">
        <v>11035</v>
      </c>
      <c r="F21" s="47">
        <v>11905</v>
      </c>
    </row>
    <row r="22" ht="15.75" spans="1:6">
      <c r="A22" s="23">
        <v>15</v>
      </c>
      <c r="B22" s="46" t="s">
        <v>460</v>
      </c>
      <c r="C22" s="47">
        <v>2827</v>
      </c>
      <c r="D22" s="47">
        <v>3207</v>
      </c>
      <c r="E22" s="47">
        <v>3397</v>
      </c>
      <c r="F22" s="47">
        <v>3967</v>
      </c>
    </row>
    <row r="23" ht="15.75" spans="1:6">
      <c r="A23" s="23">
        <v>16</v>
      </c>
      <c r="B23" s="46" t="s">
        <v>461</v>
      </c>
      <c r="C23" s="47">
        <v>3634</v>
      </c>
      <c r="D23" s="47">
        <v>4028</v>
      </c>
      <c r="E23" s="47">
        <v>4225</v>
      </c>
      <c r="F23" s="47">
        <v>4816</v>
      </c>
    </row>
    <row r="24" ht="15.75" spans="1:6">
      <c r="A24" s="23">
        <v>17</v>
      </c>
      <c r="B24" s="46" t="s">
        <v>462</v>
      </c>
      <c r="C24" s="47">
        <v>6266</v>
      </c>
      <c r="D24" s="47">
        <v>6748</v>
      </c>
      <c r="E24" s="47">
        <v>6989</v>
      </c>
      <c r="F24" s="47">
        <v>7712</v>
      </c>
    </row>
    <row r="25" ht="15.75" spans="1:6">
      <c r="A25" s="23">
        <v>18</v>
      </c>
      <c r="B25" s="46" t="s">
        <v>463</v>
      </c>
      <c r="C25" s="47">
        <v>4250</v>
      </c>
      <c r="D25" s="47">
        <v>4700</v>
      </c>
      <c r="E25" s="47">
        <v>4925</v>
      </c>
      <c r="F25" s="47">
        <v>5600</v>
      </c>
    </row>
    <row r="26" ht="15.75" spans="1:6">
      <c r="A26" s="23">
        <v>19</v>
      </c>
      <c r="B26" s="46" t="s">
        <v>464</v>
      </c>
      <c r="C26" s="47">
        <v>5035</v>
      </c>
      <c r="D26" s="47">
        <v>5499</v>
      </c>
      <c r="E26" s="47">
        <v>5731</v>
      </c>
      <c r="F26" s="47">
        <v>6427</v>
      </c>
    </row>
    <row r="27" ht="15.75" spans="1:6">
      <c r="A27" s="23">
        <v>20</v>
      </c>
      <c r="B27" s="46"/>
      <c r="C27" s="47"/>
      <c r="D27" s="47"/>
      <c r="E27" s="47"/>
      <c r="F27" s="47"/>
    </row>
    <row r="28" ht="15.75" spans="1:6">
      <c r="A28" s="23">
        <v>21</v>
      </c>
      <c r="B28" s="46" t="s">
        <v>466</v>
      </c>
      <c r="C28" s="47">
        <v>3660</v>
      </c>
      <c r="D28" s="47">
        <v>4062</v>
      </c>
      <c r="E28" s="47">
        <v>4263</v>
      </c>
      <c r="F28" s="47">
        <v>4866</v>
      </c>
    </row>
    <row r="29" ht="15.75" spans="1:6">
      <c r="A29" s="23">
        <v>22</v>
      </c>
      <c r="B29" s="46" t="s">
        <v>467</v>
      </c>
      <c r="C29" s="47">
        <v>4779</v>
      </c>
      <c r="D29" s="47">
        <v>5243</v>
      </c>
      <c r="E29" s="47">
        <v>5475</v>
      </c>
      <c r="F29" s="47">
        <v>6171</v>
      </c>
    </row>
    <row r="30" ht="15.75" spans="1:6">
      <c r="A30" s="23">
        <v>23</v>
      </c>
      <c r="B30" s="46" t="s">
        <v>116</v>
      </c>
      <c r="C30" s="47">
        <v>1515</v>
      </c>
      <c r="D30" s="47">
        <v>1851</v>
      </c>
      <c r="E30" s="47">
        <v>2019</v>
      </c>
      <c r="F30" s="47">
        <v>2523</v>
      </c>
    </row>
    <row r="31" ht="15.75" spans="1:6">
      <c r="A31" s="23">
        <v>24</v>
      </c>
      <c r="B31" s="46" t="s">
        <v>468</v>
      </c>
      <c r="C31" s="47">
        <v>5297</v>
      </c>
      <c r="D31" s="47">
        <v>5795</v>
      </c>
      <c r="E31" s="47">
        <v>6044</v>
      </c>
      <c r="F31" s="47">
        <v>6791</v>
      </c>
    </row>
    <row r="32" ht="15.75" spans="1:6">
      <c r="A32" s="23"/>
      <c r="B32" s="46" t="s">
        <v>469</v>
      </c>
      <c r="C32" s="47">
        <v>8997</v>
      </c>
      <c r="D32" s="47">
        <v>9543</v>
      </c>
      <c r="E32" s="47">
        <v>9816</v>
      </c>
      <c r="F32" s="47">
        <v>10635</v>
      </c>
    </row>
    <row r="33" ht="15.75" spans="1:6">
      <c r="A33" s="23"/>
      <c r="B33" s="46" t="s">
        <v>470</v>
      </c>
      <c r="C33" s="47">
        <v>8890</v>
      </c>
      <c r="D33" s="47">
        <v>9460</v>
      </c>
      <c r="E33" s="47">
        <v>9745</v>
      </c>
      <c r="F33" s="47">
        <v>10600</v>
      </c>
    </row>
    <row r="34" ht="15.75" spans="1:6">
      <c r="A34" s="23">
        <v>25</v>
      </c>
      <c r="B34" s="46" t="s">
        <v>471</v>
      </c>
      <c r="C34" s="47">
        <v>4208</v>
      </c>
      <c r="D34" s="47">
        <v>4614</v>
      </c>
      <c r="E34" s="47">
        <v>4817</v>
      </c>
      <c r="F34" s="47">
        <v>5426</v>
      </c>
    </row>
    <row r="35" ht="15.75" spans="1:6">
      <c r="A35" s="23">
        <v>26</v>
      </c>
      <c r="B35" s="46" t="s">
        <v>472</v>
      </c>
      <c r="C35" s="47">
        <v>2709</v>
      </c>
      <c r="D35" s="47">
        <v>3095</v>
      </c>
      <c r="E35" s="47">
        <v>3288</v>
      </c>
      <c r="F35" s="47">
        <v>3867</v>
      </c>
    </row>
    <row r="36" ht="15.75" spans="1:6">
      <c r="A36" s="23">
        <v>27</v>
      </c>
      <c r="B36" s="46" t="s">
        <v>473</v>
      </c>
      <c r="C36" s="47">
        <v>5410</v>
      </c>
      <c r="D36" s="47">
        <v>5830</v>
      </c>
      <c r="E36" s="47">
        <v>6040</v>
      </c>
      <c r="F36" s="47">
        <v>6670</v>
      </c>
    </row>
    <row r="37" ht="15.75" spans="1:6">
      <c r="A37" s="23">
        <v>28</v>
      </c>
      <c r="B37" s="46" t="s">
        <v>474</v>
      </c>
      <c r="C37" s="47">
        <v>6024</v>
      </c>
      <c r="D37" s="47">
        <v>6488</v>
      </c>
      <c r="E37" s="47">
        <v>6720</v>
      </c>
      <c r="F37" s="47">
        <v>7416</v>
      </c>
    </row>
    <row r="38" ht="15.75" spans="1:6">
      <c r="A38" s="23">
        <v>29</v>
      </c>
      <c r="B38" s="46" t="s">
        <v>475</v>
      </c>
      <c r="C38" s="47">
        <v>4666</v>
      </c>
      <c r="D38" s="47">
        <v>5156</v>
      </c>
      <c r="E38" s="47">
        <v>5401</v>
      </c>
      <c r="F38" s="47">
        <v>6136</v>
      </c>
    </row>
    <row r="39" ht="15.75" spans="1:6">
      <c r="A39" s="23">
        <v>30</v>
      </c>
      <c r="B39" s="46" t="s">
        <v>476</v>
      </c>
      <c r="C39" s="47">
        <v>2520</v>
      </c>
      <c r="D39" s="47">
        <v>2868</v>
      </c>
      <c r="E39" s="47">
        <v>3042</v>
      </c>
      <c r="F39" s="47">
        <v>3564</v>
      </c>
    </row>
    <row r="40" ht="15.75" spans="1:6">
      <c r="A40" s="23">
        <v>31</v>
      </c>
      <c r="B40" s="46" t="s">
        <v>477</v>
      </c>
      <c r="C40" s="47">
        <v>2991</v>
      </c>
      <c r="D40" s="47">
        <v>3371</v>
      </c>
      <c r="E40" s="47">
        <v>3561</v>
      </c>
      <c r="F40" s="47">
        <v>4131</v>
      </c>
    </row>
    <row r="41" ht="15.75" spans="1:6">
      <c r="A41" s="23">
        <v>32</v>
      </c>
      <c r="B41" s="46" t="s">
        <v>478</v>
      </c>
      <c r="C41" s="47">
        <v>3142</v>
      </c>
      <c r="D41" s="47">
        <v>3526</v>
      </c>
      <c r="E41" s="47">
        <v>3718</v>
      </c>
      <c r="F41" s="47">
        <v>4294</v>
      </c>
    </row>
    <row r="42" ht="15.75" spans="1:6">
      <c r="A42" s="23">
        <v>33</v>
      </c>
      <c r="B42" s="46" t="s">
        <v>479</v>
      </c>
      <c r="C42" s="47">
        <v>3674</v>
      </c>
      <c r="D42" s="47">
        <v>4114</v>
      </c>
      <c r="E42" s="47">
        <v>4334</v>
      </c>
      <c r="F42" s="47">
        <v>4994</v>
      </c>
    </row>
    <row r="43" ht="15.75" spans="1:6">
      <c r="A43" s="23">
        <v>34</v>
      </c>
      <c r="B43" s="46" t="s">
        <v>480</v>
      </c>
      <c r="C43" s="47">
        <v>2884</v>
      </c>
      <c r="D43" s="47">
        <v>3244</v>
      </c>
      <c r="E43" s="47">
        <v>3424</v>
      </c>
      <c r="F43" s="47">
        <v>3964</v>
      </c>
    </row>
    <row r="44" ht="15.75" spans="1:6">
      <c r="A44" s="23">
        <v>35</v>
      </c>
      <c r="B44" s="46" t="s">
        <v>481</v>
      </c>
      <c r="C44" s="47">
        <v>4033</v>
      </c>
      <c r="D44" s="47">
        <v>4515</v>
      </c>
      <c r="E44" s="47">
        <v>4756</v>
      </c>
      <c r="F44" s="47">
        <v>5479</v>
      </c>
    </row>
    <row r="45" ht="15.75" spans="1:6">
      <c r="A45" s="23">
        <v>36</v>
      </c>
      <c r="B45" s="46" t="s">
        <v>482</v>
      </c>
      <c r="C45" s="47">
        <v>2986</v>
      </c>
      <c r="D45" s="47">
        <v>3358</v>
      </c>
      <c r="E45" s="47">
        <v>3544</v>
      </c>
      <c r="F45" s="47">
        <v>4102</v>
      </c>
    </row>
    <row r="46" ht="15.75" spans="1:6">
      <c r="A46" s="23">
        <v>37</v>
      </c>
      <c r="B46" s="46" t="s">
        <v>483</v>
      </c>
      <c r="C46" s="47">
        <v>3739</v>
      </c>
      <c r="D46" s="47">
        <v>4189</v>
      </c>
      <c r="E46" s="47">
        <v>4414</v>
      </c>
      <c r="F46" s="47">
        <v>5089</v>
      </c>
    </row>
    <row r="47" ht="15.75" spans="1:6">
      <c r="A47" s="23">
        <v>38</v>
      </c>
      <c r="B47" s="46" t="s">
        <v>484</v>
      </c>
      <c r="C47" s="47">
        <v>5562</v>
      </c>
      <c r="D47" s="47">
        <v>6038</v>
      </c>
      <c r="E47" s="47">
        <v>6276</v>
      </c>
      <c r="F47" s="47">
        <v>6990</v>
      </c>
    </row>
    <row r="48" ht="15.75" spans="1:6">
      <c r="A48" s="23">
        <v>39</v>
      </c>
      <c r="B48" s="46" t="s">
        <v>485</v>
      </c>
      <c r="C48" s="47">
        <v>2679</v>
      </c>
      <c r="D48" s="47">
        <v>3063</v>
      </c>
      <c r="E48" s="47">
        <v>3255</v>
      </c>
      <c r="F48" s="47">
        <v>3831</v>
      </c>
    </row>
    <row r="49" ht="15.75" spans="1:6">
      <c r="A49" s="23">
        <v>40</v>
      </c>
      <c r="B49" s="46" t="s">
        <v>486</v>
      </c>
      <c r="C49" s="47">
        <v>3517</v>
      </c>
      <c r="D49" s="47">
        <v>3965</v>
      </c>
      <c r="E49" s="47">
        <v>4189</v>
      </c>
      <c r="F49" s="47">
        <v>4861</v>
      </c>
    </row>
    <row r="50" ht="15.75" spans="1:6">
      <c r="A50" s="23">
        <v>41</v>
      </c>
      <c r="B50" s="46" t="s">
        <v>487</v>
      </c>
      <c r="C50" s="47">
        <v>4813</v>
      </c>
      <c r="D50" s="47">
        <v>5343</v>
      </c>
      <c r="E50" s="47">
        <v>5608</v>
      </c>
      <c r="F50" s="47">
        <v>6403</v>
      </c>
    </row>
    <row r="51" ht="15.75" spans="1:6">
      <c r="A51" s="23">
        <v>42</v>
      </c>
      <c r="B51" s="46" t="s">
        <v>488</v>
      </c>
      <c r="C51" s="47">
        <v>5049</v>
      </c>
      <c r="D51" s="47">
        <v>5527</v>
      </c>
      <c r="E51" s="47">
        <v>5766</v>
      </c>
      <c r="F51" s="47">
        <v>6483</v>
      </c>
    </row>
    <row r="52" ht="15.75" spans="1:6">
      <c r="A52" s="23">
        <v>43</v>
      </c>
      <c r="B52" s="46" t="s">
        <v>489</v>
      </c>
      <c r="C52" s="47">
        <v>4300</v>
      </c>
      <c r="D52" s="47">
        <v>4750</v>
      </c>
      <c r="E52" s="47">
        <v>4975</v>
      </c>
      <c r="F52" s="47">
        <v>5650</v>
      </c>
    </row>
    <row r="53" ht="15.75" spans="1:6">
      <c r="A53" s="23">
        <v>44</v>
      </c>
      <c r="B53" s="46" t="s">
        <v>490</v>
      </c>
      <c r="C53" s="47">
        <v>3926</v>
      </c>
      <c r="D53" s="47">
        <v>4396</v>
      </c>
      <c r="E53" s="47">
        <v>4631</v>
      </c>
      <c r="F53" s="47">
        <v>5336</v>
      </c>
    </row>
    <row r="54" ht="15.75" spans="1:6">
      <c r="A54" s="23">
        <v>45</v>
      </c>
      <c r="B54" s="46" t="s">
        <v>491</v>
      </c>
      <c r="C54" s="47">
        <v>4323</v>
      </c>
      <c r="D54" s="47">
        <v>4743</v>
      </c>
      <c r="E54" s="47">
        <v>4953</v>
      </c>
      <c r="F54" s="47">
        <v>5583</v>
      </c>
    </row>
    <row r="55" ht="15.75" spans="1:6">
      <c r="A55" s="23">
        <v>46</v>
      </c>
      <c r="B55" s="46" t="s">
        <v>492</v>
      </c>
      <c r="C55" s="47">
        <v>3015</v>
      </c>
      <c r="D55" s="47">
        <v>3381</v>
      </c>
      <c r="E55" s="47">
        <v>3564</v>
      </c>
      <c r="F55" s="47">
        <v>4113</v>
      </c>
    </row>
    <row r="56" ht="15.75" spans="1:6">
      <c r="A56" s="23">
        <v>47</v>
      </c>
      <c r="B56" s="46" t="s">
        <v>493</v>
      </c>
      <c r="C56" s="47">
        <v>3630</v>
      </c>
      <c r="D56" s="47">
        <v>4094</v>
      </c>
      <c r="E56" s="47">
        <v>4326</v>
      </c>
      <c r="F56" s="47">
        <v>5022</v>
      </c>
    </row>
    <row r="57" ht="15.75" spans="1:6">
      <c r="A57" s="23">
        <v>48</v>
      </c>
      <c r="B57" s="46" t="s">
        <v>494</v>
      </c>
      <c r="C57" s="47">
        <v>2967</v>
      </c>
      <c r="D57" s="47">
        <v>3299</v>
      </c>
      <c r="E57" s="47">
        <v>3465</v>
      </c>
      <c r="F57" s="47">
        <v>3963</v>
      </c>
    </row>
    <row r="58" ht="15.75" spans="1:6">
      <c r="A58" s="23">
        <v>49</v>
      </c>
      <c r="B58" s="46" t="s">
        <v>495</v>
      </c>
      <c r="C58" s="47">
        <v>6632</v>
      </c>
      <c r="D58" s="47">
        <v>7184</v>
      </c>
      <c r="E58" s="47">
        <v>7460</v>
      </c>
      <c r="F58" s="47">
        <v>8288</v>
      </c>
    </row>
    <row r="59" ht="15.75" spans="1:6">
      <c r="A59" s="23">
        <v>50</v>
      </c>
      <c r="B59" s="46" t="s">
        <v>496</v>
      </c>
      <c r="C59" s="47">
        <v>3534</v>
      </c>
      <c r="D59" s="47">
        <v>3992</v>
      </c>
      <c r="E59" s="47">
        <v>4221</v>
      </c>
      <c r="F59" s="47">
        <v>4908</v>
      </c>
    </row>
    <row r="60" ht="15.75" spans="1:6">
      <c r="A60" s="23">
        <v>51</v>
      </c>
      <c r="B60" s="46" t="s">
        <v>497</v>
      </c>
      <c r="C60" s="47">
        <v>5313</v>
      </c>
      <c r="D60" s="47">
        <v>5815</v>
      </c>
      <c r="E60" s="47">
        <v>6066</v>
      </c>
      <c r="F60" s="47">
        <v>6819</v>
      </c>
    </row>
    <row r="61" ht="15.75" spans="1:6">
      <c r="A61" s="23">
        <v>52</v>
      </c>
      <c r="B61" s="46" t="s">
        <v>498</v>
      </c>
      <c r="C61" s="47">
        <v>3590</v>
      </c>
      <c r="D61" s="47">
        <v>4024</v>
      </c>
      <c r="E61" s="47">
        <v>4241</v>
      </c>
      <c r="F61" s="47">
        <v>4892</v>
      </c>
    </row>
    <row r="62" ht="15.75" spans="1:6">
      <c r="A62" s="23">
        <v>53</v>
      </c>
      <c r="B62" s="46" t="s">
        <v>499</v>
      </c>
      <c r="C62" s="47">
        <v>3685</v>
      </c>
      <c r="D62" s="47">
        <v>4149</v>
      </c>
      <c r="E62" s="47">
        <v>4381</v>
      </c>
      <c r="F62" s="47">
        <v>5077</v>
      </c>
    </row>
    <row r="63" ht="15.75" spans="1:6">
      <c r="A63" s="23">
        <v>54</v>
      </c>
      <c r="B63" s="46" t="s">
        <v>500</v>
      </c>
      <c r="C63" s="47">
        <v>4934</v>
      </c>
      <c r="D63" s="47">
        <v>5402</v>
      </c>
      <c r="E63" s="47">
        <v>5636</v>
      </c>
      <c r="F63" s="47">
        <v>6338</v>
      </c>
    </row>
    <row r="64" ht="15.75" spans="1:6">
      <c r="A64" s="23">
        <v>55</v>
      </c>
      <c r="B64" s="46" t="s">
        <v>501</v>
      </c>
      <c r="C64" s="47">
        <v>4707</v>
      </c>
      <c r="D64" s="47">
        <v>5157</v>
      </c>
      <c r="E64" s="47">
        <v>5382</v>
      </c>
      <c r="F64" s="47">
        <v>6057</v>
      </c>
    </row>
    <row r="65" ht="15.75" spans="1:6">
      <c r="A65" s="23">
        <v>56</v>
      </c>
      <c r="B65" s="46" t="s">
        <v>502</v>
      </c>
      <c r="C65" s="47">
        <v>3672</v>
      </c>
      <c r="D65" s="47">
        <v>4034</v>
      </c>
      <c r="E65" s="47">
        <v>4215</v>
      </c>
      <c r="F65" s="47">
        <v>4758</v>
      </c>
    </row>
    <row r="66" ht="15.75" spans="1:6">
      <c r="A66" s="23">
        <v>57</v>
      </c>
      <c r="B66" s="46" t="s">
        <v>503</v>
      </c>
      <c r="C66" s="47">
        <v>3218</v>
      </c>
      <c r="D66" s="47">
        <v>3624</v>
      </c>
      <c r="E66" s="47">
        <v>3827</v>
      </c>
      <c r="F66" s="47">
        <v>4436</v>
      </c>
    </row>
    <row r="67" ht="15.75" spans="1:6">
      <c r="A67" s="23">
        <v>58</v>
      </c>
      <c r="B67" s="46" t="s">
        <v>504</v>
      </c>
      <c r="C67" s="47">
        <v>3330</v>
      </c>
      <c r="D67" s="47">
        <v>3708</v>
      </c>
      <c r="E67" s="47">
        <v>3897</v>
      </c>
      <c r="F67" s="47">
        <v>4464</v>
      </c>
    </row>
    <row r="68" ht="15.75" spans="1:6">
      <c r="A68" s="23">
        <v>59</v>
      </c>
      <c r="B68" s="46" t="s">
        <v>505</v>
      </c>
      <c r="C68" s="47">
        <v>4460</v>
      </c>
      <c r="D68" s="47">
        <v>4936</v>
      </c>
      <c r="E68" s="47">
        <v>5174</v>
      </c>
      <c r="F68" s="47">
        <v>5888</v>
      </c>
    </row>
    <row r="69" ht="15.75" spans="1:6">
      <c r="A69" s="23">
        <v>60</v>
      </c>
      <c r="B69" s="46" t="s">
        <v>506</v>
      </c>
      <c r="C69" s="47">
        <v>3462</v>
      </c>
      <c r="D69" s="47">
        <v>3916</v>
      </c>
      <c r="E69" s="47">
        <v>4143</v>
      </c>
      <c r="F69" s="47">
        <v>4824</v>
      </c>
    </row>
    <row r="70" ht="15.75" spans="1:6">
      <c r="A70" s="23">
        <v>61</v>
      </c>
      <c r="B70" s="46" t="s">
        <v>507</v>
      </c>
      <c r="C70" s="47">
        <v>2693</v>
      </c>
      <c r="D70" s="47">
        <v>3067</v>
      </c>
      <c r="E70" s="47">
        <v>3254</v>
      </c>
      <c r="F70" s="47">
        <v>3815</v>
      </c>
    </row>
    <row r="71" ht="15.75" spans="1:6">
      <c r="A71" s="23">
        <v>62</v>
      </c>
      <c r="B71" s="46" t="s">
        <v>508</v>
      </c>
      <c r="C71" s="47">
        <v>3379</v>
      </c>
      <c r="D71" s="47">
        <v>3773</v>
      </c>
      <c r="E71" s="47">
        <v>3970</v>
      </c>
      <c r="F71" s="47">
        <v>4561</v>
      </c>
    </row>
    <row r="72" ht="15.75" spans="1:6">
      <c r="A72" s="23">
        <v>63</v>
      </c>
      <c r="B72" s="46" t="s">
        <v>509</v>
      </c>
      <c r="C72" s="47">
        <v>3542</v>
      </c>
      <c r="D72" s="47">
        <v>3954</v>
      </c>
      <c r="E72" s="47">
        <v>4160</v>
      </c>
      <c r="F72" s="47">
        <v>4778</v>
      </c>
    </row>
    <row r="73" ht="15.75" spans="1:6">
      <c r="A73" s="23">
        <v>64</v>
      </c>
      <c r="B73" s="46" t="s">
        <v>510</v>
      </c>
      <c r="C73" s="47">
        <v>3032</v>
      </c>
      <c r="D73" s="47">
        <v>3384</v>
      </c>
      <c r="E73" s="47">
        <v>3560</v>
      </c>
      <c r="F73" s="47">
        <v>4088</v>
      </c>
    </row>
    <row r="74" ht="15.75" spans="1:6">
      <c r="A74" s="23">
        <v>65</v>
      </c>
      <c r="B74" s="46" t="s">
        <v>511</v>
      </c>
      <c r="C74" s="47">
        <v>4688</v>
      </c>
      <c r="D74" s="47">
        <v>5180</v>
      </c>
      <c r="E74" s="47">
        <v>5426</v>
      </c>
      <c r="F74" s="47">
        <v>6164</v>
      </c>
    </row>
    <row r="75" ht="15.75" spans="1:6">
      <c r="A75" s="23">
        <v>66</v>
      </c>
      <c r="B75" s="46" t="s">
        <v>512</v>
      </c>
      <c r="C75" s="47">
        <v>4435</v>
      </c>
      <c r="D75" s="47">
        <v>4913</v>
      </c>
      <c r="E75" s="47">
        <v>5152</v>
      </c>
      <c r="F75" s="47">
        <v>5869</v>
      </c>
    </row>
    <row r="76" ht="15.75" spans="1:6">
      <c r="A76" s="23">
        <v>67</v>
      </c>
      <c r="B76" s="46" t="s">
        <v>513</v>
      </c>
      <c r="C76" s="47">
        <v>3264</v>
      </c>
      <c r="D76" s="47">
        <v>3674</v>
      </c>
      <c r="E76" s="47">
        <v>3879</v>
      </c>
      <c r="F76" s="47">
        <v>4494</v>
      </c>
    </row>
    <row r="77" ht="15.75" spans="1:6">
      <c r="A77" s="23">
        <v>68</v>
      </c>
      <c r="B77" s="46" t="s">
        <v>514</v>
      </c>
      <c r="C77" s="47">
        <v>3226</v>
      </c>
      <c r="D77" s="47">
        <v>3604</v>
      </c>
      <c r="E77" s="47">
        <v>3793</v>
      </c>
      <c r="F77" s="47">
        <v>4360</v>
      </c>
    </row>
    <row r="78" ht="15.75" spans="1:6">
      <c r="A78" s="23">
        <v>69</v>
      </c>
      <c r="B78" s="46" t="s">
        <v>515</v>
      </c>
      <c r="C78" s="47">
        <v>3578</v>
      </c>
      <c r="D78" s="47">
        <v>4020</v>
      </c>
      <c r="E78" s="47">
        <v>4241</v>
      </c>
      <c r="F78" s="47">
        <v>4904</v>
      </c>
    </row>
    <row r="79" ht="15.75" spans="1:6">
      <c r="A79" s="23">
        <v>70</v>
      </c>
      <c r="B79" s="46" t="s">
        <v>516</v>
      </c>
      <c r="C79" s="47">
        <v>5190</v>
      </c>
      <c r="D79" s="47">
        <v>5664</v>
      </c>
      <c r="E79" s="47">
        <v>5901</v>
      </c>
      <c r="F79" s="47">
        <v>6612</v>
      </c>
    </row>
    <row r="80" ht="15.75" spans="1:6">
      <c r="A80" s="23">
        <v>71</v>
      </c>
      <c r="B80" s="46" t="s">
        <v>517</v>
      </c>
      <c r="C80" s="47">
        <v>3442</v>
      </c>
      <c r="D80" s="47">
        <v>3882</v>
      </c>
      <c r="E80" s="47">
        <v>4102</v>
      </c>
      <c r="F80" s="47">
        <v>4762</v>
      </c>
    </row>
    <row r="81" ht="15.75" spans="1:6">
      <c r="A81" s="23">
        <v>72</v>
      </c>
      <c r="B81" s="46" t="s">
        <v>518</v>
      </c>
      <c r="C81" s="47">
        <v>4721</v>
      </c>
      <c r="D81" s="47">
        <v>5185</v>
      </c>
      <c r="E81" s="47">
        <v>5417</v>
      </c>
      <c r="F81" s="47">
        <v>6113</v>
      </c>
    </row>
    <row r="82" ht="15.75" spans="1:6">
      <c r="A82" s="23">
        <v>73</v>
      </c>
      <c r="B82" s="46" t="s">
        <v>519</v>
      </c>
      <c r="C82" s="47">
        <v>3614</v>
      </c>
      <c r="D82" s="47">
        <v>4036</v>
      </c>
      <c r="E82" s="47">
        <v>4247</v>
      </c>
      <c r="F82" s="47">
        <v>4880</v>
      </c>
    </row>
    <row r="83" ht="15.75" spans="1:6">
      <c r="A83" s="23">
        <v>74</v>
      </c>
      <c r="B83" s="46" t="s">
        <v>520</v>
      </c>
      <c r="C83" s="47">
        <v>4180</v>
      </c>
      <c r="D83" s="47">
        <v>4592</v>
      </c>
      <c r="E83" s="47">
        <v>4798</v>
      </c>
      <c r="F83" s="47">
        <v>5416</v>
      </c>
    </row>
    <row r="84" ht="15.75" spans="1:6">
      <c r="A84" s="23">
        <v>75</v>
      </c>
      <c r="B84" s="46" t="s">
        <v>521</v>
      </c>
      <c r="C84" s="47">
        <v>6316</v>
      </c>
      <c r="D84" s="47">
        <v>6794</v>
      </c>
      <c r="E84" s="47">
        <v>7033</v>
      </c>
      <c r="F84" s="47">
        <v>7750</v>
      </c>
    </row>
    <row r="85" ht="15.75" spans="1:6">
      <c r="A85" s="23">
        <v>76</v>
      </c>
      <c r="B85" s="46" t="s">
        <v>522</v>
      </c>
      <c r="C85" s="47">
        <v>3747</v>
      </c>
      <c r="D85" s="47">
        <v>4195</v>
      </c>
      <c r="E85" s="47">
        <v>4419</v>
      </c>
      <c r="F85" s="47">
        <v>5091</v>
      </c>
    </row>
    <row r="86" ht="15.75" spans="1:6">
      <c r="A86" s="23">
        <v>77</v>
      </c>
      <c r="B86" s="46" t="s">
        <v>523</v>
      </c>
      <c r="C86" s="47">
        <v>3247</v>
      </c>
      <c r="D86" s="47">
        <v>3671</v>
      </c>
      <c r="E86" s="47">
        <v>3883</v>
      </c>
      <c r="F86" s="47">
        <v>4519</v>
      </c>
    </row>
    <row r="87" ht="15.75" spans="1:6">
      <c r="A87" s="23">
        <v>78</v>
      </c>
      <c r="B87" s="46" t="s">
        <v>524</v>
      </c>
      <c r="C87" s="47">
        <v>3392</v>
      </c>
      <c r="D87" s="47">
        <v>3828</v>
      </c>
      <c r="E87" s="47">
        <v>4046</v>
      </c>
      <c r="F87" s="47">
        <v>4700</v>
      </c>
    </row>
    <row r="88" ht="15.75" spans="1:6">
      <c r="A88" s="23">
        <v>79</v>
      </c>
      <c r="B88" s="46" t="s">
        <v>525</v>
      </c>
      <c r="C88" s="47">
        <v>5682</v>
      </c>
      <c r="D88" s="47">
        <v>6104</v>
      </c>
      <c r="E88" s="47">
        <v>6315</v>
      </c>
      <c r="F88" s="47">
        <v>6948</v>
      </c>
    </row>
    <row r="89" ht="15.75" spans="1:6">
      <c r="A89" s="23">
        <v>83</v>
      </c>
      <c r="B89" s="46" t="s">
        <v>537</v>
      </c>
      <c r="C89" s="47">
        <v>2742</v>
      </c>
      <c r="D89" s="47">
        <v>3122</v>
      </c>
      <c r="E89" s="47">
        <v>3312</v>
      </c>
      <c r="F89" s="47">
        <v>3882</v>
      </c>
    </row>
    <row r="90" ht="15.75" spans="1:6">
      <c r="A90" s="23">
        <v>86</v>
      </c>
      <c r="B90" s="46" t="s">
        <v>538</v>
      </c>
      <c r="C90" s="47">
        <v>2753</v>
      </c>
      <c r="D90" s="47">
        <v>3133</v>
      </c>
      <c r="E90" s="47">
        <v>3323</v>
      </c>
      <c r="F90" s="47">
        <v>3893</v>
      </c>
    </row>
    <row r="91" ht="15.75" spans="1:6">
      <c r="A91" s="23">
        <v>87</v>
      </c>
      <c r="B91" s="46" t="s">
        <v>530</v>
      </c>
      <c r="C91" s="47">
        <v>2172</v>
      </c>
      <c r="D91" s="47">
        <v>2538</v>
      </c>
      <c r="E91" s="47">
        <v>2721</v>
      </c>
      <c r="F91" s="47">
        <v>3270</v>
      </c>
    </row>
    <row r="92" ht="15.75" spans="1:6">
      <c r="A92" s="23">
        <v>89</v>
      </c>
      <c r="B92" s="46" t="s">
        <v>526</v>
      </c>
      <c r="C92" s="47">
        <v>6456</v>
      </c>
      <c r="D92" s="47">
        <v>7074</v>
      </c>
      <c r="E92" s="47">
        <v>7383</v>
      </c>
      <c r="F92" s="47">
        <v>8310</v>
      </c>
    </row>
    <row r="93" ht="15.75" spans="1:6">
      <c r="A93" s="23">
        <v>91</v>
      </c>
      <c r="B93" s="46" t="s">
        <v>527</v>
      </c>
      <c r="C93" s="47">
        <v>6034</v>
      </c>
      <c r="D93" s="47">
        <v>6570</v>
      </c>
      <c r="E93" s="47">
        <v>6838</v>
      </c>
      <c r="F93" s="47">
        <v>7642</v>
      </c>
    </row>
    <row r="94" ht="15.75" spans="1:6">
      <c r="A94" s="23">
        <v>92</v>
      </c>
      <c r="B94" s="46" t="s">
        <v>528</v>
      </c>
      <c r="C94" s="47">
        <v>8668</v>
      </c>
      <c r="D94" s="47">
        <v>9326</v>
      </c>
      <c r="E94" s="47">
        <v>9655</v>
      </c>
      <c r="F94" s="47">
        <v>10642</v>
      </c>
    </row>
    <row r="95" ht="15.75" spans="1:6">
      <c r="A95" s="48">
        <v>93</v>
      </c>
      <c r="B95" s="46" t="s">
        <v>529</v>
      </c>
      <c r="C95" s="47">
        <v>7520</v>
      </c>
      <c r="D95" s="47">
        <v>8090</v>
      </c>
      <c r="E95" s="47">
        <v>8375</v>
      </c>
      <c r="F95" s="47">
        <v>9230</v>
      </c>
    </row>
    <row r="96" ht="15.75" spans="1:6">
      <c r="A96" s="48">
        <v>94</v>
      </c>
      <c r="B96" s="46" t="s">
        <v>539</v>
      </c>
      <c r="C96" s="47">
        <v>2251</v>
      </c>
      <c r="D96" s="47">
        <v>2607</v>
      </c>
      <c r="E96" s="47">
        <v>2785</v>
      </c>
      <c r="F96" s="47">
        <v>3319</v>
      </c>
    </row>
    <row r="97" ht="15.75" spans="1:6">
      <c r="A97" s="48">
        <v>95</v>
      </c>
      <c r="B97" s="46" t="s">
        <v>540</v>
      </c>
      <c r="C97" s="47">
        <v>2500</v>
      </c>
      <c r="D97" s="47">
        <v>2856</v>
      </c>
      <c r="E97" s="47">
        <v>3034</v>
      </c>
      <c r="F97" s="47">
        <v>3568</v>
      </c>
    </row>
    <row r="98" ht="15.75" spans="1:6">
      <c r="A98" s="48">
        <v>96</v>
      </c>
      <c r="B98" s="46" t="s">
        <v>531</v>
      </c>
      <c r="C98" s="47">
        <v>1935</v>
      </c>
      <c r="D98" s="47">
        <v>2337</v>
      </c>
      <c r="E98" s="47">
        <v>2538</v>
      </c>
      <c r="F98" s="47">
        <v>3141</v>
      </c>
    </row>
    <row r="99" ht="15.75" spans="1:6">
      <c r="A99" s="48">
        <v>97</v>
      </c>
      <c r="B99" s="46" t="s">
        <v>465</v>
      </c>
      <c r="C99" s="47">
        <v>2485</v>
      </c>
      <c r="D99" s="47">
        <v>2849</v>
      </c>
      <c r="E99" s="47">
        <v>3031</v>
      </c>
      <c r="F99" s="47">
        <v>3577</v>
      </c>
    </row>
  </sheetData>
  <mergeCells count="4">
    <mergeCell ref="C4:F4"/>
    <mergeCell ref="A4:A5"/>
    <mergeCell ref="A19:A21"/>
    <mergeCell ref="A31:A33"/>
  </mergeCells>
  <pageMargins left="0.7" right="0.7" top="0.75" bottom="0.75" header="0.3" footer="0.3"/>
  <pageSetup paperSize="9" orientation="portrait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Лист25"/>
  <dimension ref="A1:X582"/>
  <sheetViews>
    <sheetView topLeftCell="A436" workbookViewId="0">
      <selection activeCell="B1" sqref="B1"/>
    </sheetView>
  </sheetViews>
  <sheetFormatPr defaultColWidth="3.26666666666667" defaultRowHeight="15"/>
  <cols>
    <col min="1" max="1" width="23.1809523809524" style="2" customWidth="1"/>
    <col min="2" max="2" width="20" style="2" customWidth="1"/>
    <col min="3" max="3" width="13.4571428571429" style="2" customWidth="1"/>
    <col min="4" max="5" width="3.26666666666667" style="2" customWidth="1"/>
    <col min="6" max="6" width="34.7238095238095" style="2" customWidth="1"/>
    <col min="7" max="7" width="26.8190476190476" style="2" customWidth="1"/>
    <col min="8" max="15" width="3.26666666666667" style="2"/>
    <col min="16" max="16" width="10.1809523809524" style="2" customWidth="1"/>
    <col min="17" max="17" width="10.4571428571429" style="2" customWidth="1"/>
    <col min="18" max="18" width="3.26666666666667" style="2"/>
    <col min="19" max="19" width="7.26666666666667" style="2" customWidth="1"/>
    <col min="20" max="16384" width="3.26666666666667" style="2"/>
  </cols>
  <sheetData>
    <row r="1" spans="2:2">
      <c r="B1" s="2" t="s">
        <v>542</v>
      </c>
    </row>
    <row r="2" spans="2:7">
      <c r="B2" s="3" t="s">
        <v>42</v>
      </c>
      <c r="C2" s="4" t="s">
        <v>42</v>
      </c>
      <c r="F2" s="5" t="s">
        <v>543</v>
      </c>
      <c r="G2" s="6" t="s">
        <v>544</v>
      </c>
    </row>
    <row r="3" ht="15.75" spans="2:17">
      <c r="B3" s="7" t="s">
        <v>467</v>
      </c>
      <c r="C3" s="8">
        <v>3</v>
      </c>
      <c r="F3" s="9" t="s">
        <v>42</v>
      </c>
      <c r="G3" s="9" t="s">
        <v>42</v>
      </c>
      <c r="Q3" s="20" t="s">
        <v>42</v>
      </c>
    </row>
    <row r="4" ht="15.75" spans="2:17">
      <c r="B4" s="10" t="s">
        <v>474</v>
      </c>
      <c r="C4" s="11">
        <v>4</v>
      </c>
      <c r="F4" s="12" t="s">
        <v>467</v>
      </c>
      <c r="G4" s="13" t="s">
        <v>545</v>
      </c>
      <c r="Q4" s="21" t="s">
        <v>546</v>
      </c>
    </row>
    <row r="5" ht="15.75" spans="2:17">
      <c r="B5" s="8" t="s">
        <v>475</v>
      </c>
      <c r="C5" s="8">
        <v>5</v>
      </c>
      <c r="F5" s="12" t="s">
        <v>467</v>
      </c>
      <c r="G5" s="14" t="s">
        <v>547</v>
      </c>
      <c r="Q5" s="21" t="s">
        <v>244</v>
      </c>
    </row>
    <row r="6" ht="15.75" spans="2:7">
      <c r="B6" s="10" t="s">
        <v>476</v>
      </c>
      <c r="C6" s="11">
        <v>6</v>
      </c>
      <c r="F6" s="12" t="s">
        <v>467</v>
      </c>
      <c r="G6" s="13" t="s">
        <v>548</v>
      </c>
    </row>
    <row r="7" ht="15.75" spans="2:24">
      <c r="B7" s="7" t="s">
        <v>477</v>
      </c>
      <c r="C7" s="8">
        <v>7</v>
      </c>
      <c r="F7" s="12" t="s">
        <v>467</v>
      </c>
      <c r="G7" s="13" t="s">
        <v>549</v>
      </c>
      <c r="Q7" s="20" t="s">
        <v>42</v>
      </c>
      <c r="X7" s="21" t="s">
        <v>550</v>
      </c>
    </row>
    <row r="8" ht="15.75" spans="2:24">
      <c r="B8" s="10" t="s">
        <v>478</v>
      </c>
      <c r="C8" s="11">
        <v>8</v>
      </c>
      <c r="F8" s="12" t="s">
        <v>467</v>
      </c>
      <c r="G8" s="13" t="s">
        <v>551</v>
      </c>
      <c r="Q8" s="21" t="s">
        <v>146</v>
      </c>
      <c r="X8" s="21" t="s">
        <v>241</v>
      </c>
    </row>
    <row r="9" ht="15.75" spans="2:24">
      <c r="B9" s="7" t="s">
        <v>479</v>
      </c>
      <c r="C9" s="8">
        <v>9</v>
      </c>
      <c r="F9" s="12" t="s">
        <v>467</v>
      </c>
      <c r="G9" s="13" t="s">
        <v>552</v>
      </c>
      <c r="Q9" s="21" t="s">
        <v>133</v>
      </c>
      <c r="X9" s="21" t="s">
        <v>133</v>
      </c>
    </row>
    <row r="10" ht="15.75" spans="2:7">
      <c r="B10" s="10" t="s">
        <v>480</v>
      </c>
      <c r="C10" s="11">
        <v>10</v>
      </c>
      <c r="F10" s="12" t="s">
        <v>467</v>
      </c>
      <c r="G10" s="13" t="s">
        <v>553</v>
      </c>
    </row>
    <row r="11" ht="15.75" spans="2:7">
      <c r="B11" s="7" t="s">
        <v>481</v>
      </c>
      <c r="C11" s="8">
        <v>11</v>
      </c>
      <c r="F11" s="12" t="s">
        <v>467</v>
      </c>
      <c r="G11" s="13" t="s">
        <v>554</v>
      </c>
    </row>
    <row r="12" ht="15.75" spans="2:7">
      <c r="B12" s="10" t="s">
        <v>482</v>
      </c>
      <c r="C12" s="11">
        <v>12</v>
      </c>
      <c r="F12" s="12" t="s">
        <v>474</v>
      </c>
      <c r="G12" s="13" t="s">
        <v>555</v>
      </c>
    </row>
    <row r="13" ht="15.75" spans="2:7">
      <c r="B13" s="7" t="s">
        <v>525</v>
      </c>
      <c r="C13" s="8">
        <v>13</v>
      </c>
      <c r="F13" s="12" t="s">
        <v>474</v>
      </c>
      <c r="G13" s="13" t="s">
        <v>556</v>
      </c>
    </row>
    <row r="14" ht="15.75" spans="2:7">
      <c r="B14" s="10" t="s">
        <v>521</v>
      </c>
      <c r="C14" s="11">
        <v>14</v>
      </c>
      <c r="F14" s="12" t="s">
        <v>474</v>
      </c>
      <c r="G14" s="13" t="s">
        <v>557</v>
      </c>
    </row>
    <row r="15" ht="15.75" spans="2:7">
      <c r="B15" s="7" t="s">
        <v>483</v>
      </c>
      <c r="C15" s="8">
        <v>15</v>
      </c>
      <c r="F15" s="12" t="s">
        <v>474</v>
      </c>
      <c r="G15" s="13" t="s">
        <v>558</v>
      </c>
    </row>
    <row r="16" ht="15.75" spans="2:7">
      <c r="B16" s="10" t="s">
        <v>484</v>
      </c>
      <c r="C16" s="11">
        <v>16</v>
      </c>
      <c r="F16" s="12" t="s">
        <v>474</v>
      </c>
      <c r="G16" s="13" t="s">
        <v>559</v>
      </c>
    </row>
    <row r="17" ht="15.75" spans="2:7">
      <c r="B17" s="7" t="s">
        <v>450</v>
      </c>
      <c r="C17" s="8">
        <v>17</v>
      </c>
      <c r="F17" s="12" t="s">
        <v>474</v>
      </c>
      <c r="G17" s="13" t="s">
        <v>560</v>
      </c>
    </row>
    <row r="18" ht="15.75" spans="2:7">
      <c r="B18" s="10" t="s">
        <v>485</v>
      </c>
      <c r="C18" s="11">
        <v>18</v>
      </c>
      <c r="F18" s="12" t="s">
        <v>474</v>
      </c>
      <c r="G18" s="15" t="s">
        <v>561</v>
      </c>
    </row>
    <row r="19" ht="15.75" spans="2:7">
      <c r="B19" s="7" t="s">
        <v>486</v>
      </c>
      <c r="C19" s="8">
        <v>19</v>
      </c>
      <c r="F19" s="12" t="s">
        <v>474</v>
      </c>
      <c r="G19" s="13" t="s">
        <v>562</v>
      </c>
    </row>
    <row r="20" ht="15.75" spans="2:7">
      <c r="B20" s="10" t="s">
        <v>487</v>
      </c>
      <c r="C20" s="11">
        <v>20</v>
      </c>
      <c r="F20" s="12" t="s">
        <v>474</v>
      </c>
      <c r="G20" s="13" t="s">
        <v>563</v>
      </c>
    </row>
    <row r="21" ht="15.75" spans="2:7">
      <c r="B21" s="7" t="s">
        <v>452</v>
      </c>
      <c r="C21" s="8">
        <v>21</v>
      </c>
      <c r="F21" s="12" t="s">
        <v>474</v>
      </c>
      <c r="G21" s="13" t="s">
        <v>564</v>
      </c>
    </row>
    <row r="22" ht="36" customHeight="1" spans="2:7">
      <c r="B22" s="10" t="s">
        <v>488</v>
      </c>
      <c r="C22" s="11">
        <v>22</v>
      </c>
      <c r="F22" s="12" t="s">
        <v>474</v>
      </c>
      <c r="G22" s="13" t="s">
        <v>565</v>
      </c>
    </row>
    <row r="23" ht="15.75" spans="2:7">
      <c r="B23" s="7" t="s">
        <v>489</v>
      </c>
      <c r="C23" s="8">
        <v>23</v>
      </c>
      <c r="F23" s="12" t="s">
        <v>474</v>
      </c>
      <c r="G23" s="13" t="s">
        <v>566</v>
      </c>
    </row>
    <row r="24" ht="15.75" spans="2:7">
      <c r="B24" s="10" t="s">
        <v>490</v>
      </c>
      <c r="C24" s="11">
        <v>24</v>
      </c>
      <c r="F24" s="12" t="s">
        <v>474</v>
      </c>
      <c r="G24" s="13" t="s">
        <v>567</v>
      </c>
    </row>
    <row r="25" ht="15.75" spans="2:7">
      <c r="B25" s="7" t="s">
        <v>116</v>
      </c>
      <c r="C25" s="8">
        <v>25</v>
      </c>
      <c r="F25" s="12" t="s">
        <v>474</v>
      </c>
      <c r="G25" s="13" t="s">
        <v>568</v>
      </c>
    </row>
    <row r="26" s="1" customFormat="1" ht="15.75" spans="2:7">
      <c r="B26" s="10" t="s">
        <v>569</v>
      </c>
      <c r="C26" s="11">
        <v>26</v>
      </c>
      <c r="F26" s="12" t="s">
        <v>474</v>
      </c>
      <c r="G26" s="13" t="s">
        <v>570</v>
      </c>
    </row>
    <row r="27" ht="15.75" spans="2:7">
      <c r="B27" s="16" t="s">
        <v>491</v>
      </c>
      <c r="C27" s="8">
        <v>27</v>
      </c>
      <c r="F27" s="12" t="s">
        <v>474</v>
      </c>
      <c r="G27" s="13" t="s">
        <v>571</v>
      </c>
    </row>
    <row r="28" ht="15.75" spans="2:7">
      <c r="B28" s="10" t="s">
        <v>492</v>
      </c>
      <c r="C28" s="11">
        <v>28</v>
      </c>
      <c r="F28" s="12" t="s">
        <v>474</v>
      </c>
      <c r="G28" s="13" t="s">
        <v>572</v>
      </c>
    </row>
    <row r="29" ht="15.75" customHeight="1" spans="1:7">
      <c r="A29" s="2" t="str">
        <f>CONCATENATE(списки!Q552,CHAR(10),списки!Q553,CHAR(10),списки!Q554,CHAR(10),списки!Q555,CHAR(10))</f>
        <v>
</v>
      </c>
      <c r="B29" s="7" t="s">
        <v>493</v>
      </c>
      <c r="C29" s="8">
        <v>29</v>
      </c>
      <c r="F29" s="12" t="s">
        <v>474</v>
      </c>
      <c r="G29" s="13" t="s">
        <v>573</v>
      </c>
    </row>
    <row r="30" ht="15.75" spans="2:7">
      <c r="B30" s="10" t="s">
        <v>494</v>
      </c>
      <c r="C30" s="11">
        <v>30</v>
      </c>
      <c r="F30" s="12" t="s">
        <v>474</v>
      </c>
      <c r="G30" s="13" t="s">
        <v>574</v>
      </c>
    </row>
    <row r="31" ht="15.75" spans="2:7">
      <c r="B31" s="7" t="s">
        <v>495</v>
      </c>
      <c r="C31" s="8">
        <v>31</v>
      </c>
      <c r="F31" s="12" t="s">
        <v>474</v>
      </c>
      <c r="G31" s="13" t="s">
        <v>575</v>
      </c>
    </row>
    <row r="32" ht="15.75" spans="2:7">
      <c r="B32" s="10" t="s">
        <v>576</v>
      </c>
      <c r="C32" s="11">
        <v>32</v>
      </c>
      <c r="F32" s="12" t="s">
        <v>474</v>
      </c>
      <c r="G32" s="13" t="s">
        <v>577</v>
      </c>
    </row>
    <row r="33" ht="15.75" spans="2:7">
      <c r="B33" s="7" t="s">
        <v>496</v>
      </c>
      <c r="C33" s="8">
        <v>33</v>
      </c>
      <c r="F33" s="12" t="s">
        <v>474</v>
      </c>
      <c r="G33" s="13" t="s">
        <v>578</v>
      </c>
    </row>
    <row r="34" ht="15.75" spans="2:7">
      <c r="B34" s="10" t="s">
        <v>497</v>
      </c>
      <c r="C34" s="11">
        <v>34</v>
      </c>
      <c r="F34" s="12" t="s">
        <v>474</v>
      </c>
      <c r="G34" s="13" t="s">
        <v>579</v>
      </c>
    </row>
    <row r="35" ht="15.75" spans="2:7">
      <c r="B35" s="7" t="s">
        <v>580</v>
      </c>
      <c r="C35" s="8">
        <v>35</v>
      </c>
      <c r="F35" s="12" t="s">
        <v>474</v>
      </c>
      <c r="G35" s="13" t="s">
        <v>581</v>
      </c>
    </row>
    <row r="36" ht="15.75" spans="2:7">
      <c r="B36" s="10" t="s">
        <v>498</v>
      </c>
      <c r="C36" s="11">
        <v>36</v>
      </c>
      <c r="F36" s="12" t="s">
        <v>475</v>
      </c>
      <c r="G36" s="13" t="s">
        <v>582</v>
      </c>
    </row>
    <row r="37" ht="15.75" spans="2:7">
      <c r="B37" s="7" t="s">
        <v>499</v>
      </c>
      <c r="C37" s="8">
        <v>37</v>
      </c>
      <c r="F37" s="12" t="s">
        <v>475</v>
      </c>
      <c r="G37" s="13" t="s">
        <v>583</v>
      </c>
    </row>
    <row r="38" ht="15.75" spans="1:7">
      <c r="A38" s="17"/>
      <c r="B38" s="10" t="s">
        <v>500</v>
      </c>
      <c r="C38" s="11">
        <v>38</v>
      </c>
      <c r="F38" s="12" t="s">
        <v>475</v>
      </c>
      <c r="G38" s="13" t="s">
        <v>584</v>
      </c>
    </row>
    <row r="39" ht="15.75" spans="2:7">
      <c r="B39" s="7" t="s">
        <v>501</v>
      </c>
      <c r="C39" s="8">
        <v>39</v>
      </c>
      <c r="F39" s="12" t="s">
        <v>475</v>
      </c>
      <c r="G39" s="13" t="s">
        <v>585</v>
      </c>
    </row>
    <row r="40" ht="15.75" spans="2:7">
      <c r="B40" s="10" t="s">
        <v>502</v>
      </c>
      <c r="C40" s="11">
        <v>40</v>
      </c>
      <c r="F40" s="12" t="s">
        <v>475</v>
      </c>
      <c r="G40" s="13" t="s">
        <v>586</v>
      </c>
    </row>
    <row r="41" ht="15.75" spans="2:7">
      <c r="B41" s="7" t="s">
        <v>503</v>
      </c>
      <c r="C41" s="8">
        <v>41</v>
      </c>
      <c r="F41" s="12" t="s">
        <v>475</v>
      </c>
      <c r="G41" s="13" t="s">
        <v>587</v>
      </c>
    </row>
    <row r="42" ht="15.75" spans="2:7">
      <c r="B42" s="10" t="s">
        <v>504</v>
      </c>
      <c r="C42" s="11">
        <v>42</v>
      </c>
      <c r="F42" s="12" t="s">
        <v>475</v>
      </c>
      <c r="G42" s="13" t="s">
        <v>588</v>
      </c>
    </row>
    <row r="43" ht="15.75" spans="2:7">
      <c r="B43" s="18" t="s">
        <v>505</v>
      </c>
      <c r="C43" s="8">
        <v>43</v>
      </c>
      <c r="F43" s="19" t="s">
        <v>476</v>
      </c>
      <c r="G43" s="15" t="s">
        <v>589</v>
      </c>
    </row>
    <row r="44" ht="15.75" spans="2:7">
      <c r="B44" s="10" t="s">
        <v>471</v>
      </c>
      <c r="C44" s="11">
        <v>44</v>
      </c>
      <c r="F44" s="19" t="s">
        <v>476</v>
      </c>
      <c r="G44" s="13" t="s">
        <v>590</v>
      </c>
    </row>
    <row r="45" ht="15.75" spans="2:7">
      <c r="B45" s="7" t="s">
        <v>506</v>
      </c>
      <c r="C45" s="8">
        <v>45</v>
      </c>
      <c r="F45" s="19" t="s">
        <v>477</v>
      </c>
      <c r="G45" s="13" t="s">
        <v>591</v>
      </c>
    </row>
    <row r="46" ht="15.75" spans="2:7">
      <c r="B46" s="10" t="s">
        <v>592</v>
      </c>
      <c r="C46" s="11">
        <v>46</v>
      </c>
      <c r="F46" s="19" t="s">
        <v>478</v>
      </c>
      <c r="G46" s="13" t="s">
        <v>593</v>
      </c>
    </row>
    <row r="47" ht="15.75" spans="2:7">
      <c r="B47" s="7" t="s">
        <v>594</v>
      </c>
      <c r="C47" s="8">
        <v>47</v>
      </c>
      <c r="F47" s="19" t="s">
        <v>479</v>
      </c>
      <c r="G47" s="13" t="s">
        <v>595</v>
      </c>
    </row>
    <row r="48" ht="15.75" spans="2:7">
      <c r="B48" s="10" t="s">
        <v>445</v>
      </c>
      <c r="C48" s="11">
        <v>48</v>
      </c>
      <c r="F48" s="19" t="s">
        <v>479</v>
      </c>
      <c r="G48" s="13" t="s">
        <v>596</v>
      </c>
    </row>
    <row r="49" ht="15.75" spans="2:7">
      <c r="B49" s="7" t="s">
        <v>446</v>
      </c>
      <c r="C49" s="8">
        <v>49</v>
      </c>
      <c r="F49" s="19" t="s">
        <v>480</v>
      </c>
      <c r="G49" s="13" t="s">
        <v>597</v>
      </c>
    </row>
    <row r="50" ht="15.75" spans="2:7">
      <c r="B50" s="10" t="s">
        <v>448</v>
      </c>
      <c r="C50" s="11">
        <v>50</v>
      </c>
      <c r="F50" s="19" t="s">
        <v>480</v>
      </c>
      <c r="G50" s="13" t="s">
        <v>598</v>
      </c>
    </row>
    <row r="51" ht="15.75" spans="2:7">
      <c r="B51" s="7" t="s">
        <v>449</v>
      </c>
      <c r="C51" s="8">
        <v>51</v>
      </c>
      <c r="F51" s="19" t="s">
        <v>480</v>
      </c>
      <c r="G51" s="15" t="s">
        <v>599</v>
      </c>
    </row>
    <row r="52" ht="15.75" spans="2:7">
      <c r="B52" s="10" t="s">
        <v>600</v>
      </c>
      <c r="C52" s="11">
        <v>52</v>
      </c>
      <c r="F52" s="19" t="s">
        <v>480</v>
      </c>
      <c r="G52" s="13" t="s">
        <v>601</v>
      </c>
    </row>
    <row r="53" ht="15.75" spans="2:7">
      <c r="B53" s="7" t="s">
        <v>451</v>
      </c>
      <c r="C53" s="8">
        <v>53</v>
      </c>
      <c r="F53" s="19" t="s">
        <v>480</v>
      </c>
      <c r="G53" s="13" t="s">
        <v>602</v>
      </c>
    </row>
    <row r="54" ht="15.75" spans="2:7">
      <c r="B54" s="10" t="s">
        <v>453</v>
      </c>
      <c r="C54" s="11">
        <v>54</v>
      </c>
      <c r="F54" s="19" t="s">
        <v>480</v>
      </c>
      <c r="G54" s="15" t="s">
        <v>603</v>
      </c>
    </row>
    <row r="55" ht="15.75" spans="2:7">
      <c r="B55" s="7" t="s">
        <v>454</v>
      </c>
      <c r="C55" s="8">
        <v>55</v>
      </c>
      <c r="F55" s="19" t="s">
        <v>481</v>
      </c>
      <c r="G55" s="13" t="s">
        <v>604</v>
      </c>
    </row>
    <row r="56" ht="15.75" spans="2:7">
      <c r="B56" s="10" t="s">
        <v>455</v>
      </c>
      <c r="C56" s="11">
        <v>56</v>
      </c>
      <c r="F56" s="19" t="s">
        <v>481</v>
      </c>
      <c r="G56" s="13" t="s">
        <v>605</v>
      </c>
    </row>
    <row r="57" ht="15.75" spans="2:7">
      <c r="B57" s="7" t="s">
        <v>456</v>
      </c>
      <c r="C57" s="8">
        <v>57</v>
      </c>
      <c r="F57" s="19" t="s">
        <v>481</v>
      </c>
      <c r="G57" s="13" t="s">
        <v>606</v>
      </c>
    </row>
    <row r="58" ht="15.75" spans="2:7">
      <c r="B58" s="10" t="s">
        <v>607</v>
      </c>
      <c r="C58" s="11">
        <v>58</v>
      </c>
      <c r="F58" s="19" t="s">
        <v>481</v>
      </c>
      <c r="G58" s="13" t="s">
        <v>608</v>
      </c>
    </row>
    <row r="59" ht="15.75" spans="2:7">
      <c r="B59" s="7" t="s">
        <v>609</v>
      </c>
      <c r="C59" s="8">
        <v>59</v>
      </c>
      <c r="F59" s="19" t="s">
        <v>481</v>
      </c>
      <c r="G59" s="13" t="s">
        <v>610</v>
      </c>
    </row>
    <row r="60" ht="15.75" spans="2:7">
      <c r="B60" s="10" t="s">
        <v>461</v>
      </c>
      <c r="C60" s="11">
        <v>60</v>
      </c>
      <c r="F60" s="19" t="s">
        <v>482</v>
      </c>
      <c r="G60" s="15" t="s">
        <v>611</v>
      </c>
    </row>
    <row r="61" ht="15.75" spans="2:7">
      <c r="B61" s="7" t="s">
        <v>462</v>
      </c>
      <c r="C61" s="8">
        <v>61</v>
      </c>
      <c r="F61" s="19" t="s">
        <v>525</v>
      </c>
      <c r="G61" s="13" t="s">
        <v>612</v>
      </c>
    </row>
    <row r="62" ht="15.75" spans="2:7">
      <c r="B62" s="10" t="s">
        <v>464</v>
      </c>
      <c r="C62" s="11">
        <v>62</v>
      </c>
      <c r="F62" s="19" t="s">
        <v>525</v>
      </c>
      <c r="G62" s="15" t="s">
        <v>613</v>
      </c>
    </row>
    <row r="63" ht="15.75" spans="2:7">
      <c r="B63" s="7" t="s">
        <v>507</v>
      </c>
      <c r="C63" s="8">
        <v>63</v>
      </c>
      <c r="F63" s="19" t="s">
        <v>521</v>
      </c>
      <c r="G63" s="13" t="s">
        <v>614</v>
      </c>
    </row>
    <row r="64" ht="15.75" spans="2:7">
      <c r="B64" s="10" t="s">
        <v>508</v>
      </c>
      <c r="C64" s="11">
        <v>64</v>
      </c>
      <c r="F64" s="19" t="s">
        <v>521</v>
      </c>
      <c r="G64" s="15" t="s">
        <v>615</v>
      </c>
    </row>
    <row r="65" ht="45" customHeight="1" spans="2:7">
      <c r="B65" s="7" t="s">
        <v>509</v>
      </c>
      <c r="C65" s="8">
        <v>65</v>
      </c>
      <c r="F65" s="19" t="s">
        <v>521</v>
      </c>
      <c r="G65" s="13" t="s">
        <v>616</v>
      </c>
    </row>
    <row r="66" ht="15.75" spans="2:7">
      <c r="B66" s="10" t="s">
        <v>617</v>
      </c>
      <c r="C66" s="11">
        <v>66</v>
      </c>
      <c r="F66" s="19" t="s">
        <v>521</v>
      </c>
      <c r="G66" s="13" t="s">
        <v>618</v>
      </c>
    </row>
    <row r="67" ht="15.75" spans="2:7">
      <c r="B67" s="7" t="s">
        <v>510</v>
      </c>
      <c r="C67" s="8">
        <v>67</v>
      </c>
      <c r="F67" s="19" t="s">
        <v>521</v>
      </c>
      <c r="G67" s="13" t="s">
        <v>619</v>
      </c>
    </row>
    <row r="68" ht="15.75" spans="2:7">
      <c r="B68" s="10" t="s">
        <v>511</v>
      </c>
      <c r="C68" s="11">
        <v>68</v>
      </c>
      <c r="F68" s="19" t="s">
        <v>521</v>
      </c>
      <c r="G68" s="13" t="s">
        <v>620</v>
      </c>
    </row>
    <row r="69" ht="15.75" spans="2:7">
      <c r="B69" s="7" t="s">
        <v>512</v>
      </c>
      <c r="C69" s="8">
        <v>69</v>
      </c>
      <c r="F69" s="19" t="s">
        <v>521</v>
      </c>
      <c r="G69" s="13" t="s">
        <v>621</v>
      </c>
    </row>
    <row r="70" ht="15.75" spans="2:7">
      <c r="B70" s="10" t="s">
        <v>513</v>
      </c>
      <c r="C70" s="11">
        <v>70</v>
      </c>
      <c r="F70" s="19" t="s">
        <v>521</v>
      </c>
      <c r="G70" s="13" t="s">
        <v>622</v>
      </c>
    </row>
    <row r="71" ht="15.75" spans="2:7">
      <c r="B71" s="7" t="s">
        <v>472</v>
      </c>
      <c r="C71" s="8">
        <v>71</v>
      </c>
      <c r="F71" s="19" t="s">
        <v>521</v>
      </c>
      <c r="G71" s="13" t="s">
        <v>623</v>
      </c>
    </row>
    <row r="72" ht="15.75" spans="2:7">
      <c r="B72" s="10" t="s">
        <v>514</v>
      </c>
      <c r="C72" s="11">
        <v>72</v>
      </c>
      <c r="F72" s="19" t="s">
        <v>521</v>
      </c>
      <c r="G72" s="13" t="s">
        <v>624</v>
      </c>
    </row>
    <row r="73" ht="15.75" spans="2:7">
      <c r="B73" s="7" t="s">
        <v>515</v>
      </c>
      <c r="C73" s="8">
        <v>73</v>
      </c>
      <c r="F73" s="19" t="s">
        <v>521</v>
      </c>
      <c r="G73" s="13" t="s">
        <v>625</v>
      </c>
    </row>
    <row r="74" ht="15.75" spans="2:7">
      <c r="B74" s="10" t="s">
        <v>516</v>
      </c>
      <c r="C74" s="11">
        <v>74</v>
      </c>
      <c r="F74" s="19" t="s">
        <v>521</v>
      </c>
      <c r="G74" s="13" t="s">
        <v>626</v>
      </c>
    </row>
    <row r="75" ht="15.75" spans="2:7">
      <c r="B75" s="7" t="s">
        <v>517</v>
      </c>
      <c r="C75" s="8">
        <v>75</v>
      </c>
      <c r="F75" s="19" t="s">
        <v>521</v>
      </c>
      <c r="G75" s="15" t="s">
        <v>627</v>
      </c>
    </row>
    <row r="76" ht="15.75" spans="2:7">
      <c r="B76" s="10" t="s">
        <v>628</v>
      </c>
      <c r="C76" s="11">
        <v>76</v>
      </c>
      <c r="F76" s="19" t="s">
        <v>521</v>
      </c>
      <c r="G76" s="13" t="s">
        <v>629</v>
      </c>
    </row>
    <row r="77" ht="15.75" spans="2:7">
      <c r="B77" s="22" t="s">
        <v>463</v>
      </c>
      <c r="C77" s="8">
        <v>77</v>
      </c>
      <c r="F77" s="19" t="s">
        <v>521</v>
      </c>
      <c r="G77" s="13" t="s">
        <v>630</v>
      </c>
    </row>
    <row r="78" ht="15.75" spans="2:7">
      <c r="B78" s="10" t="s">
        <v>519</v>
      </c>
      <c r="C78" s="11">
        <v>78</v>
      </c>
      <c r="F78" s="19" t="s">
        <v>483</v>
      </c>
      <c r="G78" s="15" t="s">
        <v>631</v>
      </c>
    </row>
    <row r="79" ht="15.75" spans="2:7">
      <c r="B79" s="7" t="s">
        <v>473</v>
      </c>
      <c r="C79" s="8">
        <v>79</v>
      </c>
      <c r="F79" s="19" t="s">
        <v>483</v>
      </c>
      <c r="G79" s="13" t="s">
        <v>632</v>
      </c>
    </row>
    <row r="80" ht="15.75" spans="2:7">
      <c r="B80" s="10" t="s">
        <v>633</v>
      </c>
      <c r="C80" s="11">
        <v>80</v>
      </c>
      <c r="F80" s="19" t="s">
        <v>484</v>
      </c>
      <c r="G80" s="13" t="s">
        <v>634</v>
      </c>
    </row>
    <row r="81" ht="15.75" spans="2:7">
      <c r="B81" s="7" t="s">
        <v>520</v>
      </c>
      <c r="C81" s="8">
        <v>81</v>
      </c>
      <c r="F81" s="19" t="s">
        <v>484</v>
      </c>
      <c r="G81" s="13" t="s">
        <v>635</v>
      </c>
    </row>
    <row r="82" ht="15.75" spans="2:7">
      <c r="B82" s="10" t="s">
        <v>465</v>
      </c>
      <c r="C82" s="11">
        <v>82</v>
      </c>
      <c r="F82" s="19" t="s">
        <v>484</v>
      </c>
      <c r="G82" s="13" t="s">
        <v>636</v>
      </c>
    </row>
    <row r="83" ht="15.75" spans="2:7">
      <c r="B83" s="7" t="s">
        <v>637</v>
      </c>
      <c r="C83" s="8">
        <v>83</v>
      </c>
      <c r="F83" s="19" t="s">
        <v>484</v>
      </c>
      <c r="G83" s="13" t="s">
        <v>638</v>
      </c>
    </row>
    <row r="84" ht="15.75" spans="2:7">
      <c r="B84" s="10" t="s">
        <v>639</v>
      </c>
      <c r="C84" s="11">
        <v>84</v>
      </c>
      <c r="F84" s="19" t="s">
        <v>484</v>
      </c>
      <c r="G84" s="13" t="s">
        <v>640</v>
      </c>
    </row>
    <row r="85" ht="15.75" spans="2:7">
      <c r="B85" s="7" t="s">
        <v>641</v>
      </c>
      <c r="C85" s="8">
        <v>85</v>
      </c>
      <c r="F85" s="19" t="s">
        <v>484</v>
      </c>
      <c r="G85" s="15" t="s">
        <v>642</v>
      </c>
    </row>
    <row r="86" ht="15.75" spans="2:7">
      <c r="B86" s="2" t="s">
        <v>522</v>
      </c>
      <c r="C86" s="11">
        <v>86</v>
      </c>
      <c r="F86" s="19" t="s">
        <v>484</v>
      </c>
      <c r="G86" s="13" t="s">
        <v>643</v>
      </c>
    </row>
    <row r="87" ht="15.75" spans="2:7">
      <c r="B87" s="2" t="s">
        <v>530</v>
      </c>
      <c r="C87" s="8">
        <v>87</v>
      </c>
      <c r="F87" s="19" t="s">
        <v>484</v>
      </c>
      <c r="G87" s="13" t="s">
        <v>644</v>
      </c>
    </row>
    <row r="88" ht="15.75" spans="2:7">
      <c r="B88" s="2" t="s">
        <v>645</v>
      </c>
      <c r="C88" s="11">
        <v>88</v>
      </c>
      <c r="F88" s="19" t="s">
        <v>484</v>
      </c>
      <c r="G88" s="13" t="s">
        <v>646</v>
      </c>
    </row>
    <row r="89" ht="15.75" spans="2:7">
      <c r="B89" s="23" t="s">
        <v>531</v>
      </c>
      <c r="F89" s="19" t="s">
        <v>484</v>
      </c>
      <c r="G89" s="13" t="s">
        <v>647</v>
      </c>
    </row>
    <row r="90" ht="15.75" spans="2:7">
      <c r="B90" s="24" t="s">
        <v>465</v>
      </c>
      <c r="F90" s="19" t="s">
        <v>484</v>
      </c>
      <c r="G90" s="13" t="s">
        <v>648</v>
      </c>
    </row>
    <row r="91" ht="15.75" spans="6:7">
      <c r="F91" s="19" t="s">
        <v>484</v>
      </c>
      <c r="G91" s="15" t="s">
        <v>649</v>
      </c>
    </row>
    <row r="92" ht="15.75" spans="6:7">
      <c r="F92" s="19" t="s">
        <v>484</v>
      </c>
      <c r="G92" s="13" t="s">
        <v>650</v>
      </c>
    </row>
    <row r="93" ht="15.75" spans="6:7">
      <c r="F93" s="19" t="s">
        <v>484</v>
      </c>
      <c r="G93" s="15" t="s">
        <v>651</v>
      </c>
    </row>
    <row r="94" ht="15.75" spans="6:7">
      <c r="F94" s="19" t="s">
        <v>484</v>
      </c>
      <c r="G94" s="13" t="s">
        <v>652</v>
      </c>
    </row>
    <row r="95" ht="15.75" spans="6:7">
      <c r="F95" s="19" t="s">
        <v>484</v>
      </c>
      <c r="G95" s="13" t="s">
        <v>653</v>
      </c>
    </row>
    <row r="96" ht="15.75" spans="6:7">
      <c r="F96" s="19" t="s">
        <v>484</v>
      </c>
      <c r="G96" s="15" t="s">
        <v>654</v>
      </c>
    </row>
    <row r="97" ht="15.75" spans="6:7">
      <c r="F97" s="19" t="s">
        <v>484</v>
      </c>
      <c r="G97" s="13" t="s">
        <v>655</v>
      </c>
    </row>
    <row r="98" ht="15.75" spans="6:7">
      <c r="F98" s="19" t="s">
        <v>484</v>
      </c>
      <c r="G98" s="13" t="s">
        <v>656</v>
      </c>
    </row>
    <row r="99" ht="15.75" spans="6:7">
      <c r="F99" s="19" t="s">
        <v>484</v>
      </c>
      <c r="G99" s="13" t="s">
        <v>657</v>
      </c>
    </row>
    <row r="100" ht="15.75" spans="6:7">
      <c r="F100" s="19" t="s">
        <v>484</v>
      </c>
      <c r="G100" s="15" t="s">
        <v>658</v>
      </c>
    </row>
    <row r="101" ht="15.75" spans="6:7">
      <c r="F101" s="19" t="s">
        <v>484</v>
      </c>
      <c r="G101" s="13" t="s">
        <v>659</v>
      </c>
    </row>
    <row r="102" ht="15.75" spans="6:7">
      <c r="F102" s="19" t="s">
        <v>484</v>
      </c>
      <c r="G102" s="13" t="s">
        <v>660</v>
      </c>
    </row>
    <row r="103" ht="15.75" spans="6:7">
      <c r="F103" s="19" t="s">
        <v>484</v>
      </c>
      <c r="G103" s="13" t="s">
        <v>661</v>
      </c>
    </row>
    <row r="104" ht="15.75" spans="6:7">
      <c r="F104" s="19" t="s">
        <v>484</v>
      </c>
      <c r="G104" s="13" t="s">
        <v>662</v>
      </c>
    </row>
    <row r="105" ht="15.75" spans="6:7">
      <c r="F105" s="19" t="s">
        <v>484</v>
      </c>
      <c r="G105" s="15" t="s">
        <v>663</v>
      </c>
    </row>
    <row r="106" ht="15.75" spans="6:7">
      <c r="F106" s="19" t="s">
        <v>450</v>
      </c>
      <c r="G106" s="13" t="s">
        <v>664</v>
      </c>
    </row>
    <row r="107" ht="15.75" spans="6:7">
      <c r="F107" s="19" t="s">
        <v>485</v>
      </c>
      <c r="G107" s="13" t="s">
        <v>665</v>
      </c>
    </row>
    <row r="108" ht="15.75" spans="6:7">
      <c r="F108" s="19" t="s">
        <v>486</v>
      </c>
      <c r="G108" s="13" t="s">
        <v>666</v>
      </c>
    </row>
    <row r="109" ht="15.75" spans="6:7">
      <c r="F109" s="19" t="s">
        <v>487</v>
      </c>
      <c r="G109" s="13" t="s">
        <v>667</v>
      </c>
    </row>
    <row r="110" ht="15.75" spans="6:7">
      <c r="F110" s="19" t="s">
        <v>487</v>
      </c>
      <c r="G110" s="13" t="s">
        <v>668</v>
      </c>
    </row>
    <row r="111" ht="15.75" spans="6:7">
      <c r="F111" s="19" t="s">
        <v>487</v>
      </c>
      <c r="G111" s="13" t="s">
        <v>669</v>
      </c>
    </row>
    <row r="112" ht="15.75" spans="6:7">
      <c r="F112" s="19" t="s">
        <v>487</v>
      </c>
      <c r="G112" s="13" t="s">
        <v>670</v>
      </c>
    </row>
    <row r="113" ht="15.75" spans="6:7">
      <c r="F113" s="19" t="s">
        <v>487</v>
      </c>
      <c r="G113" s="13" t="s">
        <v>671</v>
      </c>
    </row>
    <row r="114" ht="15.75" spans="6:7">
      <c r="F114" s="19" t="s">
        <v>487</v>
      </c>
      <c r="G114" s="13" t="s">
        <v>672</v>
      </c>
    </row>
    <row r="115" ht="15.75" spans="6:7">
      <c r="F115" s="19" t="s">
        <v>487</v>
      </c>
      <c r="G115" s="13" t="s">
        <v>673</v>
      </c>
    </row>
    <row r="116" ht="15.75" spans="6:7">
      <c r="F116" s="19" t="s">
        <v>487</v>
      </c>
      <c r="G116" s="13" t="s">
        <v>674</v>
      </c>
    </row>
    <row r="117" ht="15.75" spans="6:7">
      <c r="F117" s="19" t="s">
        <v>487</v>
      </c>
      <c r="G117" s="13" t="s">
        <v>675</v>
      </c>
    </row>
    <row r="118" ht="15.75" spans="6:7">
      <c r="F118" s="19" t="s">
        <v>487</v>
      </c>
      <c r="G118" s="13" t="s">
        <v>676</v>
      </c>
    </row>
    <row r="119" ht="15.75" spans="6:7">
      <c r="F119" s="19" t="s">
        <v>487</v>
      </c>
      <c r="G119" s="13" t="s">
        <v>677</v>
      </c>
    </row>
    <row r="120" ht="15.75" spans="6:7">
      <c r="F120" s="19" t="s">
        <v>487</v>
      </c>
      <c r="G120" s="13" t="s">
        <v>678</v>
      </c>
    </row>
    <row r="121" ht="15.75" spans="6:7">
      <c r="F121" s="19" t="s">
        <v>487</v>
      </c>
      <c r="G121" s="13" t="s">
        <v>679</v>
      </c>
    </row>
    <row r="122" ht="15.75" spans="6:7">
      <c r="F122" s="19" t="s">
        <v>487</v>
      </c>
      <c r="G122" s="13" t="s">
        <v>680</v>
      </c>
    </row>
    <row r="123" ht="15.75" spans="6:7">
      <c r="F123" s="19" t="s">
        <v>487</v>
      </c>
      <c r="G123" s="13" t="s">
        <v>681</v>
      </c>
    </row>
    <row r="124" ht="15.75" spans="6:7">
      <c r="F124" s="19" t="s">
        <v>487</v>
      </c>
      <c r="G124" s="13" t="s">
        <v>682</v>
      </c>
    </row>
    <row r="125" ht="15.75" spans="6:7">
      <c r="F125" s="19" t="s">
        <v>487</v>
      </c>
      <c r="G125" s="15" t="s">
        <v>683</v>
      </c>
    </row>
    <row r="126" ht="15.75" spans="6:7">
      <c r="F126" s="19" t="s">
        <v>487</v>
      </c>
      <c r="G126" s="13" t="s">
        <v>684</v>
      </c>
    </row>
    <row r="127" ht="15.75" spans="6:7">
      <c r="F127" s="19" t="s">
        <v>487</v>
      </c>
      <c r="G127" s="25" t="s">
        <v>685</v>
      </c>
    </row>
    <row r="128" ht="15.75" spans="6:7">
      <c r="F128" s="19" t="s">
        <v>452</v>
      </c>
      <c r="G128" s="15" t="s">
        <v>686</v>
      </c>
    </row>
    <row r="129" ht="15.75" spans="6:7">
      <c r="F129" s="19" t="s">
        <v>488</v>
      </c>
      <c r="G129" s="13" t="s">
        <v>687</v>
      </c>
    </row>
    <row r="130" ht="15.75" spans="6:7">
      <c r="F130" s="19" t="s">
        <v>488</v>
      </c>
      <c r="G130" s="15" t="s">
        <v>688</v>
      </c>
    </row>
    <row r="131" ht="15.75" spans="6:7">
      <c r="F131" s="19" t="s">
        <v>488</v>
      </c>
      <c r="G131" s="13" t="s">
        <v>689</v>
      </c>
    </row>
    <row r="132" ht="15.75" spans="6:7">
      <c r="F132" s="19" t="s">
        <v>488</v>
      </c>
      <c r="G132" s="15" t="s">
        <v>690</v>
      </c>
    </row>
    <row r="133" ht="15.75" spans="6:7">
      <c r="F133" s="19" t="s">
        <v>488</v>
      </c>
      <c r="G133" s="13" t="s">
        <v>691</v>
      </c>
    </row>
    <row r="134" ht="15.75" spans="6:7">
      <c r="F134" s="19" t="s">
        <v>488</v>
      </c>
      <c r="G134" s="15" t="s">
        <v>692</v>
      </c>
    </row>
    <row r="135" ht="15.75" spans="6:7">
      <c r="F135" s="19" t="s">
        <v>488</v>
      </c>
      <c r="G135" s="26" t="s">
        <v>693</v>
      </c>
    </row>
    <row r="136" ht="15.75" spans="6:7">
      <c r="F136" s="19" t="s">
        <v>488</v>
      </c>
      <c r="G136" s="26" t="s">
        <v>694</v>
      </c>
    </row>
    <row r="137" ht="15.75" spans="6:7">
      <c r="F137" s="19" t="s">
        <v>489</v>
      </c>
      <c r="G137" s="25" t="s">
        <v>695</v>
      </c>
    </row>
    <row r="138" ht="15.75" spans="6:7">
      <c r="F138" s="19" t="s">
        <v>489</v>
      </c>
      <c r="G138" s="25" t="s">
        <v>696</v>
      </c>
    </row>
    <row r="139" ht="15.75" spans="6:7">
      <c r="F139" s="19" t="s">
        <v>489</v>
      </c>
      <c r="G139" s="25" t="s">
        <v>697</v>
      </c>
    </row>
    <row r="140" ht="15.75" spans="6:7">
      <c r="F140" s="19" t="s">
        <v>490</v>
      </c>
      <c r="G140" s="25" t="s">
        <v>698</v>
      </c>
    </row>
    <row r="141" ht="15.75" spans="6:7">
      <c r="F141" s="19" t="s">
        <v>490</v>
      </c>
      <c r="G141" s="25" t="s">
        <v>699</v>
      </c>
    </row>
    <row r="142" ht="15.75" spans="6:7">
      <c r="F142" s="19" t="s">
        <v>490</v>
      </c>
      <c r="G142" s="25" t="s">
        <v>700</v>
      </c>
    </row>
    <row r="143" ht="15.75" spans="6:7">
      <c r="F143" s="19" t="s">
        <v>116</v>
      </c>
      <c r="G143" s="25" t="s">
        <v>701</v>
      </c>
    </row>
    <row r="144" ht="15.75" spans="6:7">
      <c r="F144" s="19" t="s">
        <v>116</v>
      </c>
      <c r="G144" s="25" t="s">
        <v>702</v>
      </c>
    </row>
    <row r="145" ht="15.75" spans="6:7">
      <c r="F145" s="19" t="s">
        <v>116</v>
      </c>
      <c r="G145" s="25" t="s">
        <v>703</v>
      </c>
    </row>
    <row r="146" ht="15.75" spans="6:7">
      <c r="F146" s="19" t="s">
        <v>116</v>
      </c>
      <c r="G146" s="25" t="s">
        <v>704</v>
      </c>
    </row>
    <row r="147" ht="15.75" spans="6:7">
      <c r="F147" s="19" t="s">
        <v>116</v>
      </c>
      <c r="G147" s="25" t="s">
        <v>705</v>
      </c>
    </row>
    <row r="148" ht="15.75" spans="6:7">
      <c r="F148" s="19" t="s">
        <v>569</v>
      </c>
      <c r="G148" s="25" t="s">
        <v>706</v>
      </c>
    </row>
    <row r="149" ht="15.75" spans="6:7">
      <c r="F149" s="19" t="s">
        <v>569</v>
      </c>
      <c r="G149" s="25" t="s">
        <v>707</v>
      </c>
    </row>
    <row r="150" ht="15.75" spans="6:7">
      <c r="F150" s="19" t="s">
        <v>569</v>
      </c>
      <c r="G150" s="25" t="s">
        <v>708</v>
      </c>
    </row>
    <row r="151" ht="15.75" spans="6:7">
      <c r="F151" s="19" t="s">
        <v>569</v>
      </c>
      <c r="G151" s="25" t="s">
        <v>709</v>
      </c>
    </row>
    <row r="152" ht="15.75" spans="6:7">
      <c r="F152" s="19" t="s">
        <v>569</v>
      </c>
      <c r="G152" s="25" t="s">
        <v>710</v>
      </c>
    </row>
    <row r="153" ht="15.75" spans="6:7">
      <c r="F153" s="19" t="s">
        <v>569</v>
      </c>
      <c r="G153" s="25" t="s">
        <v>711</v>
      </c>
    </row>
    <row r="154" ht="15.75" spans="6:7">
      <c r="F154" s="19" t="s">
        <v>569</v>
      </c>
      <c r="G154" s="15" t="s">
        <v>712</v>
      </c>
    </row>
    <row r="155" ht="15.75" spans="6:7">
      <c r="F155" s="19" t="s">
        <v>569</v>
      </c>
      <c r="G155" s="25" t="s">
        <v>713</v>
      </c>
    </row>
    <row r="156" ht="15.75" spans="6:7">
      <c r="F156" s="19" t="s">
        <v>569</v>
      </c>
      <c r="G156" s="15" t="s">
        <v>714</v>
      </c>
    </row>
    <row r="157" ht="15.75" spans="6:7">
      <c r="F157" s="19" t="s">
        <v>569</v>
      </c>
      <c r="G157" s="13" t="s">
        <v>715</v>
      </c>
    </row>
    <row r="158" ht="15.75" spans="6:7">
      <c r="F158" s="19" t="s">
        <v>569</v>
      </c>
      <c r="G158" s="13" t="s">
        <v>716</v>
      </c>
    </row>
    <row r="159" ht="15.75" spans="6:7">
      <c r="F159" s="19" t="s">
        <v>569</v>
      </c>
      <c r="G159" s="13" t="s">
        <v>717</v>
      </c>
    </row>
    <row r="160" ht="15.75" spans="6:7">
      <c r="F160" s="19" t="s">
        <v>569</v>
      </c>
      <c r="G160" s="13" t="s">
        <v>718</v>
      </c>
    </row>
    <row r="161" ht="15.75" spans="6:7">
      <c r="F161" s="19" t="s">
        <v>569</v>
      </c>
      <c r="G161" s="13" t="s">
        <v>719</v>
      </c>
    </row>
    <row r="162" ht="15.75" spans="6:7">
      <c r="F162" s="19" t="s">
        <v>569</v>
      </c>
      <c r="G162" s="13" t="s">
        <v>720</v>
      </c>
    </row>
    <row r="163" ht="15.75" spans="6:7">
      <c r="F163" s="19" t="s">
        <v>569</v>
      </c>
      <c r="G163" s="13" t="s">
        <v>721</v>
      </c>
    </row>
    <row r="164" ht="15.75" spans="6:7">
      <c r="F164" s="19" t="s">
        <v>569</v>
      </c>
      <c r="G164" s="15" t="s">
        <v>669</v>
      </c>
    </row>
    <row r="165" ht="15.75" spans="6:7">
      <c r="F165" s="19" t="s">
        <v>569</v>
      </c>
      <c r="G165" s="13" t="s">
        <v>722</v>
      </c>
    </row>
    <row r="166" ht="15.75" spans="6:7">
      <c r="F166" s="19" t="s">
        <v>569</v>
      </c>
      <c r="G166" s="13" t="s">
        <v>723</v>
      </c>
    </row>
    <row r="167" ht="15.75" spans="6:7">
      <c r="F167" s="19" t="s">
        <v>569</v>
      </c>
      <c r="G167" s="13" t="s">
        <v>724</v>
      </c>
    </row>
    <row r="168" ht="15.75" spans="6:7">
      <c r="F168" s="19" t="s">
        <v>569</v>
      </c>
      <c r="G168" s="13" t="s">
        <v>725</v>
      </c>
    </row>
    <row r="169" ht="15.75" spans="6:7">
      <c r="F169" s="19" t="s">
        <v>569</v>
      </c>
      <c r="G169" s="13" t="s">
        <v>726</v>
      </c>
    </row>
    <row r="170" ht="15.75" spans="6:7">
      <c r="F170" s="19" t="s">
        <v>569</v>
      </c>
      <c r="G170" s="13" t="s">
        <v>727</v>
      </c>
    </row>
    <row r="171" ht="15.75" spans="6:7">
      <c r="F171" s="19" t="s">
        <v>569</v>
      </c>
      <c r="G171" s="13" t="s">
        <v>728</v>
      </c>
    </row>
    <row r="172" ht="15.75" spans="6:7">
      <c r="F172" s="19" t="s">
        <v>569</v>
      </c>
      <c r="G172" s="13" t="s">
        <v>729</v>
      </c>
    </row>
    <row r="173" ht="15.75" spans="6:7">
      <c r="F173" s="19" t="s">
        <v>569</v>
      </c>
      <c r="G173" s="15" t="s">
        <v>730</v>
      </c>
    </row>
    <row r="174" ht="15.75" spans="6:7">
      <c r="F174" s="19" t="s">
        <v>491</v>
      </c>
      <c r="G174" s="13" t="s">
        <v>731</v>
      </c>
    </row>
    <row r="175" ht="15.75" spans="6:7">
      <c r="F175" s="19" t="s">
        <v>492</v>
      </c>
      <c r="G175" s="13" t="s">
        <v>732</v>
      </c>
    </row>
    <row r="176" ht="15.75" spans="6:7">
      <c r="F176" s="19" t="s">
        <v>493</v>
      </c>
      <c r="G176" s="13" t="s">
        <v>733</v>
      </c>
    </row>
    <row r="177" ht="15.75" spans="6:7">
      <c r="F177" s="19" t="s">
        <v>493</v>
      </c>
      <c r="G177" s="15" t="s">
        <v>734</v>
      </c>
    </row>
    <row r="178" ht="15.75" spans="6:7">
      <c r="F178" s="19" t="s">
        <v>494</v>
      </c>
      <c r="G178" s="13" t="s">
        <v>735</v>
      </c>
    </row>
    <row r="179" ht="15.75" spans="6:7">
      <c r="F179" s="19" t="s">
        <v>495</v>
      </c>
      <c r="G179" s="13" t="s">
        <v>736</v>
      </c>
    </row>
    <row r="180" ht="15.75" spans="6:7">
      <c r="F180" s="19" t="s">
        <v>495</v>
      </c>
      <c r="G180" s="13" t="s">
        <v>737</v>
      </c>
    </row>
    <row r="181" ht="15.75" spans="6:7">
      <c r="F181" s="19" t="s">
        <v>495</v>
      </c>
      <c r="G181" s="13" t="s">
        <v>738</v>
      </c>
    </row>
    <row r="182" ht="15.75" spans="6:7">
      <c r="F182" s="19" t="s">
        <v>495</v>
      </c>
      <c r="G182" s="13" t="s">
        <v>739</v>
      </c>
    </row>
    <row r="183" ht="15.75" spans="6:7">
      <c r="F183" s="19" t="s">
        <v>495</v>
      </c>
      <c r="G183" s="13" t="s">
        <v>740</v>
      </c>
    </row>
    <row r="184" ht="15.75" spans="6:7">
      <c r="F184" s="19" t="s">
        <v>495</v>
      </c>
      <c r="G184" s="13" t="s">
        <v>741</v>
      </c>
    </row>
    <row r="185" ht="15.75" spans="6:7">
      <c r="F185" s="19" t="s">
        <v>495</v>
      </c>
      <c r="G185" s="13" t="s">
        <v>742</v>
      </c>
    </row>
    <row r="186" ht="15.75" spans="6:7">
      <c r="F186" s="19" t="s">
        <v>576</v>
      </c>
      <c r="G186" s="13" t="s">
        <v>743</v>
      </c>
    </row>
    <row r="187" ht="15.75" spans="6:7">
      <c r="F187" s="19" t="s">
        <v>496</v>
      </c>
      <c r="G187" s="13" t="s">
        <v>744</v>
      </c>
    </row>
    <row r="188" ht="15.75" spans="6:7">
      <c r="F188" s="19" t="s">
        <v>496</v>
      </c>
      <c r="G188" s="13" t="s">
        <v>745</v>
      </c>
    </row>
    <row r="189" ht="15.75" spans="6:7">
      <c r="F189" s="19" t="s">
        <v>497</v>
      </c>
      <c r="G189" s="15" t="s">
        <v>746</v>
      </c>
    </row>
    <row r="190" ht="15.75" spans="6:7">
      <c r="F190" s="19" t="s">
        <v>497</v>
      </c>
      <c r="G190" s="13" t="s">
        <v>747</v>
      </c>
    </row>
    <row r="191" ht="15.75" spans="6:7">
      <c r="F191" s="19" t="s">
        <v>497</v>
      </c>
      <c r="G191" s="13" t="s">
        <v>748</v>
      </c>
    </row>
    <row r="192" ht="15.75" spans="6:7">
      <c r="F192" s="19" t="s">
        <v>497</v>
      </c>
      <c r="G192" s="13" t="s">
        <v>749</v>
      </c>
    </row>
    <row r="193" ht="15.75" spans="6:7">
      <c r="F193" s="19" t="s">
        <v>497</v>
      </c>
      <c r="G193" s="15" t="s">
        <v>750</v>
      </c>
    </row>
    <row r="194" ht="15.75" spans="6:7">
      <c r="F194" s="19" t="s">
        <v>497</v>
      </c>
      <c r="G194" s="13" t="s">
        <v>751</v>
      </c>
    </row>
    <row r="195" ht="15.75" spans="6:7">
      <c r="F195" s="19" t="s">
        <v>497</v>
      </c>
      <c r="G195" s="13" t="s">
        <v>752</v>
      </c>
    </row>
    <row r="196" ht="15.75" spans="6:7">
      <c r="F196" s="19" t="s">
        <v>497</v>
      </c>
      <c r="G196" s="13" t="s">
        <v>753</v>
      </c>
    </row>
    <row r="197" ht="15.75" spans="6:7">
      <c r="F197" s="19" t="s">
        <v>497</v>
      </c>
      <c r="G197" s="13" t="s">
        <v>754</v>
      </c>
    </row>
    <row r="198" ht="15.75" spans="6:7">
      <c r="F198" s="19" t="s">
        <v>497</v>
      </c>
      <c r="G198" s="13" t="s">
        <v>755</v>
      </c>
    </row>
    <row r="199" ht="15.75" spans="6:7">
      <c r="F199" s="19" t="s">
        <v>497</v>
      </c>
      <c r="G199" s="13" t="s">
        <v>756</v>
      </c>
    </row>
    <row r="200" ht="15.75" spans="6:7">
      <c r="F200" s="19" t="s">
        <v>497</v>
      </c>
      <c r="G200" s="25" t="s">
        <v>757</v>
      </c>
    </row>
    <row r="201" ht="15.75" spans="6:7">
      <c r="F201" s="19" t="s">
        <v>497</v>
      </c>
      <c r="G201" s="25" t="s">
        <v>758</v>
      </c>
    </row>
    <row r="202" ht="15.75" spans="6:7">
      <c r="F202" s="19" t="s">
        <v>497</v>
      </c>
      <c r="G202" s="25" t="s">
        <v>759</v>
      </c>
    </row>
    <row r="203" ht="15.75" spans="6:7">
      <c r="F203" s="19" t="s">
        <v>580</v>
      </c>
      <c r="G203" s="25" t="s">
        <v>760</v>
      </c>
    </row>
    <row r="204" ht="15.75" spans="6:7">
      <c r="F204" s="19" t="s">
        <v>580</v>
      </c>
      <c r="G204" s="25" t="s">
        <v>761</v>
      </c>
    </row>
    <row r="205" ht="15.75" spans="6:7">
      <c r="F205" s="19" t="s">
        <v>580</v>
      </c>
      <c r="G205" s="25" t="s">
        <v>762</v>
      </c>
    </row>
    <row r="206" ht="15.75" spans="6:7">
      <c r="F206" s="19" t="s">
        <v>580</v>
      </c>
      <c r="G206" s="25" t="s">
        <v>763</v>
      </c>
    </row>
    <row r="207" ht="15.75" spans="6:7">
      <c r="F207" s="19" t="s">
        <v>580</v>
      </c>
      <c r="G207" s="25" t="s">
        <v>764</v>
      </c>
    </row>
    <row r="208" ht="15.75" spans="6:7">
      <c r="F208" s="19" t="s">
        <v>580</v>
      </c>
      <c r="G208" s="25" t="s">
        <v>765</v>
      </c>
    </row>
    <row r="209" ht="15.75" spans="6:7">
      <c r="F209" s="19" t="s">
        <v>580</v>
      </c>
      <c r="G209" s="25" t="s">
        <v>766</v>
      </c>
    </row>
    <row r="210" ht="15.75" spans="6:7">
      <c r="F210" s="19" t="s">
        <v>498</v>
      </c>
      <c r="G210" s="27" t="s">
        <v>767</v>
      </c>
    </row>
    <row r="211" ht="15.75" spans="6:7">
      <c r="F211" s="19" t="s">
        <v>498</v>
      </c>
      <c r="G211" s="25" t="s">
        <v>768</v>
      </c>
    </row>
    <row r="212" ht="15.75" spans="6:7">
      <c r="F212" s="19" t="s">
        <v>498</v>
      </c>
      <c r="G212" s="25" t="s">
        <v>769</v>
      </c>
    </row>
    <row r="213" ht="15.75" spans="6:7">
      <c r="F213" s="19" t="s">
        <v>499</v>
      </c>
      <c r="G213" s="25" t="s">
        <v>770</v>
      </c>
    </row>
    <row r="214" ht="15.75" spans="6:7">
      <c r="F214" s="19" t="s">
        <v>499</v>
      </c>
      <c r="G214" s="25" t="s">
        <v>771</v>
      </c>
    </row>
    <row r="215" ht="15.75" spans="6:7">
      <c r="F215" s="19" t="s">
        <v>500</v>
      </c>
      <c r="G215" s="25" t="s">
        <v>772</v>
      </c>
    </row>
    <row r="216" ht="15.75" spans="6:7">
      <c r="F216" s="19" t="s">
        <v>500</v>
      </c>
      <c r="G216" s="25" t="s">
        <v>773</v>
      </c>
    </row>
    <row r="217" ht="15.75" spans="6:7">
      <c r="F217" s="19" t="s">
        <v>500</v>
      </c>
      <c r="G217" s="25" t="s">
        <v>774</v>
      </c>
    </row>
    <row r="218" ht="15.75" spans="6:7">
      <c r="F218" s="19" t="s">
        <v>500</v>
      </c>
      <c r="G218" s="25" t="s">
        <v>775</v>
      </c>
    </row>
    <row r="219" ht="15.75" spans="6:7">
      <c r="F219" s="19" t="s">
        <v>500</v>
      </c>
      <c r="G219" s="25" t="s">
        <v>776</v>
      </c>
    </row>
    <row r="220" ht="15.75" spans="6:7">
      <c r="F220" s="19" t="s">
        <v>500</v>
      </c>
      <c r="G220" s="25" t="s">
        <v>777</v>
      </c>
    </row>
    <row r="221" ht="15.75" spans="6:7">
      <c r="F221" s="19" t="s">
        <v>500</v>
      </c>
      <c r="G221" s="25" t="s">
        <v>778</v>
      </c>
    </row>
    <row r="222" ht="15.75" spans="6:7">
      <c r="F222" s="19" t="s">
        <v>500</v>
      </c>
      <c r="G222" s="25" t="s">
        <v>779</v>
      </c>
    </row>
    <row r="223" ht="15.75" spans="6:7">
      <c r="F223" s="19" t="s">
        <v>500</v>
      </c>
      <c r="G223" s="25" t="s">
        <v>780</v>
      </c>
    </row>
    <row r="224" ht="15.75" spans="6:7">
      <c r="F224" s="19" t="s">
        <v>501</v>
      </c>
      <c r="G224" s="25" t="s">
        <v>781</v>
      </c>
    </row>
    <row r="225" ht="15.75" spans="6:7">
      <c r="F225" s="19" t="s">
        <v>501</v>
      </c>
      <c r="G225" s="25" t="s">
        <v>782</v>
      </c>
    </row>
    <row r="226" ht="15.75" spans="6:7">
      <c r="F226" s="19" t="s">
        <v>501</v>
      </c>
      <c r="G226" s="13" t="s">
        <v>783</v>
      </c>
    </row>
    <row r="227" ht="15.75" spans="6:7">
      <c r="F227" s="19" t="s">
        <v>501</v>
      </c>
      <c r="G227" s="13" t="s">
        <v>784</v>
      </c>
    </row>
    <row r="228" ht="15.75" spans="6:7">
      <c r="F228" s="19" t="s">
        <v>502</v>
      </c>
      <c r="G228" s="13" t="s">
        <v>785</v>
      </c>
    </row>
    <row r="229" ht="15.75" spans="6:7">
      <c r="F229" s="19" t="s">
        <v>502</v>
      </c>
      <c r="G229" s="13" t="s">
        <v>786</v>
      </c>
    </row>
    <row r="230" ht="15.75" spans="6:7">
      <c r="F230" s="19" t="s">
        <v>502</v>
      </c>
      <c r="G230" s="13" t="s">
        <v>787</v>
      </c>
    </row>
    <row r="231" ht="15.75" spans="6:7">
      <c r="F231" s="19" t="s">
        <v>503</v>
      </c>
      <c r="G231" s="13" t="s">
        <v>788</v>
      </c>
    </row>
    <row r="232" ht="15.75" spans="6:7">
      <c r="F232" s="19" t="s">
        <v>504</v>
      </c>
      <c r="G232" s="13" t="s">
        <v>789</v>
      </c>
    </row>
    <row r="233" ht="15.75" spans="6:7">
      <c r="F233" s="19" t="s">
        <v>504</v>
      </c>
      <c r="G233" s="13" t="s">
        <v>790</v>
      </c>
    </row>
    <row r="234" ht="15.75" spans="6:7">
      <c r="F234" s="19" t="s">
        <v>505</v>
      </c>
      <c r="G234" s="13" t="s">
        <v>791</v>
      </c>
    </row>
    <row r="235" ht="15.75" spans="6:7">
      <c r="F235" s="19" t="s">
        <v>505</v>
      </c>
      <c r="G235" s="13" t="s">
        <v>792</v>
      </c>
    </row>
    <row r="236" ht="15.75" spans="6:7">
      <c r="F236" s="19" t="s">
        <v>505</v>
      </c>
      <c r="G236" s="13" t="s">
        <v>793</v>
      </c>
    </row>
    <row r="237" ht="15.75" spans="6:7">
      <c r="F237" s="19" t="s">
        <v>505</v>
      </c>
      <c r="G237" s="13" t="s">
        <v>794</v>
      </c>
    </row>
    <row r="238" ht="15.75" spans="6:7">
      <c r="F238" s="19" t="s">
        <v>471</v>
      </c>
      <c r="G238" s="13" t="s">
        <v>795</v>
      </c>
    </row>
    <row r="239" ht="15.75" spans="6:7">
      <c r="F239" s="19" t="s">
        <v>471</v>
      </c>
      <c r="G239" s="13" t="s">
        <v>796</v>
      </c>
    </row>
    <row r="240" ht="15.75" spans="6:7">
      <c r="F240" s="19" t="s">
        <v>471</v>
      </c>
      <c r="G240" s="13" t="s">
        <v>797</v>
      </c>
    </row>
    <row r="241" ht="15.75" spans="6:7">
      <c r="F241" s="19" t="s">
        <v>471</v>
      </c>
      <c r="G241" s="13" t="s">
        <v>798</v>
      </c>
    </row>
    <row r="242" ht="15.75" spans="6:7">
      <c r="F242" s="19" t="s">
        <v>471</v>
      </c>
      <c r="G242" s="13" t="s">
        <v>799</v>
      </c>
    </row>
    <row r="243" ht="15.75" spans="6:7">
      <c r="F243" s="19" t="s">
        <v>471</v>
      </c>
      <c r="G243" s="13" t="s">
        <v>800</v>
      </c>
    </row>
    <row r="244" ht="15.75" spans="6:7">
      <c r="F244" s="19" t="s">
        <v>471</v>
      </c>
      <c r="G244" s="13" t="s">
        <v>801</v>
      </c>
    </row>
    <row r="245" ht="15.75" spans="6:7">
      <c r="F245" s="19" t="s">
        <v>471</v>
      </c>
      <c r="G245" s="13" t="s">
        <v>802</v>
      </c>
    </row>
    <row r="246" ht="15.75" spans="6:7">
      <c r="F246" s="19" t="s">
        <v>471</v>
      </c>
      <c r="G246" s="13" t="s">
        <v>803</v>
      </c>
    </row>
    <row r="247" ht="15.75" spans="6:7">
      <c r="F247" s="19" t="s">
        <v>471</v>
      </c>
      <c r="G247" s="13" t="s">
        <v>804</v>
      </c>
    </row>
    <row r="248" ht="15.75" spans="6:7">
      <c r="F248" s="19" t="s">
        <v>471</v>
      </c>
      <c r="G248" s="13" t="s">
        <v>805</v>
      </c>
    </row>
    <row r="249" ht="15.75" spans="6:7">
      <c r="F249" s="19" t="s">
        <v>471</v>
      </c>
      <c r="G249" s="13" t="s">
        <v>806</v>
      </c>
    </row>
    <row r="250" ht="15.75" spans="6:7">
      <c r="F250" s="19" t="s">
        <v>471</v>
      </c>
      <c r="G250" s="13" t="s">
        <v>807</v>
      </c>
    </row>
    <row r="251" ht="15.75" spans="6:7">
      <c r="F251" s="19" t="s">
        <v>471</v>
      </c>
      <c r="G251" s="13" t="s">
        <v>808</v>
      </c>
    </row>
    <row r="252" ht="15.75" spans="6:7">
      <c r="F252" s="19" t="s">
        <v>471</v>
      </c>
      <c r="G252" s="13" t="s">
        <v>809</v>
      </c>
    </row>
    <row r="253" ht="15.75" spans="6:7">
      <c r="F253" s="19" t="s">
        <v>471</v>
      </c>
      <c r="G253" s="13" t="s">
        <v>810</v>
      </c>
    </row>
    <row r="254" ht="15.75" spans="6:7">
      <c r="F254" s="19" t="s">
        <v>506</v>
      </c>
      <c r="G254" s="13" t="s">
        <v>811</v>
      </c>
    </row>
    <row r="255" ht="15.75" spans="6:7">
      <c r="F255" s="19" t="s">
        <v>506</v>
      </c>
      <c r="G255" s="13" t="s">
        <v>812</v>
      </c>
    </row>
    <row r="256" ht="15.75" spans="6:7">
      <c r="F256" s="19" t="s">
        <v>592</v>
      </c>
      <c r="G256" s="13" t="s">
        <v>813</v>
      </c>
    </row>
    <row r="257" ht="15.75" spans="6:7">
      <c r="F257" s="19" t="s">
        <v>594</v>
      </c>
      <c r="G257" s="13" t="s">
        <v>814</v>
      </c>
    </row>
    <row r="258" ht="15.75" spans="6:7">
      <c r="F258" s="19" t="s">
        <v>594</v>
      </c>
      <c r="G258" s="13" t="s">
        <v>815</v>
      </c>
    </row>
    <row r="259" ht="15.75" spans="6:7">
      <c r="F259" s="19" t="s">
        <v>594</v>
      </c>
      <c r="G259" s="13" t="s">
        <v>816</v>
      </c>
    </row>
    <row r="260" ht="15.75" spans="6:7">
      <c r="F260" s="19" t="s">
        <v>445</v>
      </c>
      <c r="G260" s="13" t="s">
        <v>817</v>
      </c>
    </row>
    <row r="261" ht="15.75" spans="6:7">
      <c r="F261" s="19" t="s">
        <v>445</v>
      </c>
      <c r="G261" s="13" t="s">
        <v>818</v>
      </c>
    </row>
    <row r="262" ht="15.75" spans="6:7">
      <c r="F262" s="19" t="s">
        <v>445</v>
      </c>
      <c r="G262" s="13" t="s">
        <v>819</v>
      </c>
    </row>
    <row r="263" ht="15.75" spans="6:7">
      <c r="F263" s="19" t="s">
        <v>445</v>
      </c>
      <c r="G263" s="13" t="s">
        <v>820</v>
      </c>
    </row>
    <row r="264" ht="15.75" spans="6:7">
      <c r="F264" s="19" t="s">
        <v>445</v>
      </c>
      <c r="G264" s="13" t="s">
        <v>821</v>
      </c>
    </row>
    <row r="265" ht="15.75" spans="6:7">
      <c r="F265" s="19" t="s">
        <v>446</v>
      </c>
      <c r="G265" s="13" t="s">
        <v>822</v>
      </c>
    </row>
    <row r="266" ht="15.75" spans="6:7">
      <c r="F266" s="19" t="s">
        <v>446</v>
      </c>
      <c r="G266" s="13" t="s">
        <v>823</v>
      </c>
    </row>
    <row r="267" ht="15.75" spans="6:7">
      <c r="F267" s="19" t="s">
        <v>446</v>
      </c>
      <c r="G267" s="13" t="s">
        <v>824</v>
      </c>
    </row>
    <row r="268" ht="15.75" spans="6:7">
      <c r="F268" s="19" t="s">
        <v>446</v>
      </c>
      <c r="G268" s="13" t="s">
        <v>825</v>
      </c>
    </row>
    <row r="269" ht="15.75" spans="6:7">
      <c r="F269" s="19" t="s">
        <v>446</v>
      </c>
      <c r="G269" s="13" t="s">
        <v>826</v>
      </c>
    </row>
    <row r="270" ht="15.75" spans="6:7">
      <c r="F270" s="19" t="s">
        <v>446</v>
      </c>
      <c r="G270" s="13" t="s">
        <v>827</v>
      </c>
    </row>
    <row r="271" ht="15.75" spans="6:7">
      <c r="F271" s="19" t="s">
        <v>446</v>
      </c>
      <c r="G271" s="13" t="s">
        <v>828</v>
      </c>
    </row>
    <row r="272" ht="15.75" spans="6:7">
      <c r="F272" s="19" t="s">
        <v>446</v>
      </c>
      <c r="G272" s="13" t="s">
        <v>829</v>
      </c>
    </row>
    <row r="273" ht="15.75" spans="6:7">
      <c r="F273" s="19" t="s">
        <v>446</v>
      </c>
      <c r="G273" s="13" t="s">
        <v>830</v>
      </c>
    </row>
    <row r="274" ht="15.75" spans="6:7">
      <c r="F274" s="19" t="s">
        <v>446</v>
      </c>
      <c r="G274" s="13" t="s">
        <v>831</v>
      </c>
    </row>
    <row r="275" ht="15.75" spans="6:7">
      <c r="F275" s="19" t="s">
        <v>448</v>
      </c>
      <c r="G275" s="13" t="s">
        <v>832</v>
      </c>
    </row>
    <row r="276" ht="15.75" spans="6:7">
      <c r="F276" s="19" t="s">
        <v>448</v>
      </c>
      <c r="G276" s="13" t="s">
        <v>833</v>
      </c>
    </row>
    <row r="277" ht="15.75" spans="6:7">
      <c r="F277" s="19" t="s">
        <v>448</v>
      </c>
      <c r="G277" s="13" t="s">
        <v>834</v>
      </c>
    </row>
    <row r="278" ht="15.75" spans="6:7">
      <c r="F278" s="19" t="s">
        <v>449</v>
      </c>
      <c r="G278" s="13" t="s">
        <v>835</v>
      </c>
    </row>
    <row r="279" ht="15.75" spans="6:7">
      <c r="F279" s="19" t="s">
        <v>449</v>
      </c>
      <c r="G279" s="13" t="s">
        <v>836</v>
      </c>
    </row>
    <row r="280" ht="15.75" spans="6:7">
      <c r="F280" s="19" t="s">
        <v>600</v>
      </c>
      <c r="G280" s="13" t="s">
        <v>664</v>
      </c>
    </row>
    <row r="281" ht="15.75" spans="6:7">
      <c r="F281" s="19" t="s">
        <v>451</v>
      </c>
      <c r="G281" s="13" t="s">
        <v>837</v>
      </c>
    </row>
    <row r="282" ht="15.75" spans="6:7">
      <c r="F282" s="19" t="s">
        <v>453</v>
      </c>
      <c r="G282" s="13" t="s">
        <v>838</v>
      </c>
    </row>
    <row r="283" ht="15.75" spans="6:7">
      <c r="F283" s="19" t="s">
        <v>453</v>
      </c>
      <c r="G283" s="13" t="s">
        <v>839</v>
      </c>
    </row>
    <row r="284" ht="15.75" spans="6:7">
      <c r="F284" s="19" t="s">
        <v>453</v>
      </c>
      <c r="G284" s="13" t="s">
        <v>840</v>
      </c>
    </row>
    <row r="285" ht="15.75" spans="6:7">
      <c r="F285" s="19" t="s">
        <v>453</v>
      </c>
      <c r="G285" s="13" t="s">
        <v>841</v>
      </c>
    </row>
    <row r="286" ht="15.75" spans="6:7">
      <c r="F286" s="19" t="s">
        <v>453</v>
      </c>
      <c r="G286" s="13" t="s">
        <v>842</v>
      </c>
    </row>
    <row r="287" ht="15.75" spans="6:7">
      <c r="F287" s="19" t="s">
        <v>453</v>
      </c>
      <c r="G287" s="13" t="s">
        <v>843</v>
      </c>
    </row>
    <row r="288" ht="15.75" spans="6:7">
      <c r="F288" s="19" t="s">
        <v>453</v>
      </c>
      <c r="G288" s="13" t="s">
        <v>844</v>
      </c>
    </row>
    <row r="289" ht="15.75" spans="6:7">
      <c r="F289" s="19" t="s">
        <v>454</v>
      </c>
      <c r="G289" s="13" t="s">
        <v>845</v>
      </c>
    </row>
    <row r="290" ht="15.75" spans="6:7">
      <c r="F290" s="19" t="s">
        <v>454</v>
      </c>
      <c r="G290" s="13" t="s">
        <v>846</v>
      </c>
    </row>
    <row r="291" ht="15.75" spans="6:7">
      <c r="F291" s="19" t="s">
        <v>454</v>
      </c>
      <c r="G291" s="13" t="s">
        <v>847</v>
      </c>
    </row>
    <row r="292" ht="15.75" spans="6:7">
      <c r="F292" s="19" t="s">
        <v>454</v>
      </c>
      <c r="G292" s="13" t="s">
        <v>848</v>
      </c>
    </row>
    <row r="293" ht="15.75" spans="6:7">
      <c r="F293" s="19" t="s">
        <v>454</v>
      </c>
      <c r="G293" s="13" t="s">
        <v>849</v>
      </c>
    </row>
    <row r="294" ht="15.75" spans="6:7">
      <c r="F294" s="19" t="s">
        <v>454</v>
      </c>
      <c r="G294" s="13" t="s">
        <v>850</v>
      </c>
    </row>
    <row r="295" ht="15.75" spans="6:7">
      <c r="F295" s="19" t="s">
        <v>454</v>
      </c>
      <c r="G295" s="13" t="s">
        <v>851</v>
      </c>
    </row>
    <row r="296" ht="15.75" spans="6:7">
      <c r="F296" s="19" t="s">
        <v>454</v>
      </c>
      <c r="G296" s="13" t="s">
        <v>852</v>
      </c>
    </row>
    <row r="297" ht="15.75" spans="6:7">
      <c r="F297" s="19" t="s">
        <v>454</v>
      </c>
      <c r="G297" s="13" t="s">
        <v>853</v>
      </c>
    </row>
    <row r="298" ht="15.75" spans="6:7">
      <c r="F298" s="19" t="s">
        <v>454</v>
      </c>
      <c r="G298" s="13" t="s">
        <v>854</v>
      </c>
    </row>
    <row r="299" ht="15.75" spans="6:7">
      <c r="F299" s="19" t="s">
        <v>454</v>
      </c>
      <c r="G299" s="13" t="s">
        <v>855</v>
      </c>
    </row>
    <row r="300" ht="15.75" spans="6:7">
      <c r="F300" s="19" t="s">
        <v>455</v>
      </c>
      <c r="G300" s="13" t="s">
        <v>856</v>
      </c>
    </row>
    <row r="301" ht="15.75" spans="6:7">
      <c r="F301" s="19" t="s">
        <v>456</v>
      </c>
      <c r="G301" s="13" t="s">
        <v>857</v>
      </c>
    </row>
    <row r="302" ht="15.75" spans="6:7">
      <c r="F302" s="19" t="s">
        <v>607</v>
      </c>
      <c r="G302" s="13" t="s">
        <v>858</v>
      </c>
    </row>
    <row r="303" ht="15.75" spans="6:7">
      <c r="F303" s="19" t="s">
        <v>607</v>
      </c>
      <c r="G303" s="13" t="s">
        <v>859</v>
      </c>
    </row>
    <row r="304" ht="15.75" spans="6:7">
      <c r="F304" s="19" t="s">
        <v>607</v>
      </c>
      <c r="G304" s="13" t="s">
        <v>860</v>
      </c>
    </row>
    <row r="305" ht="15.75" spans="6:7">
      <c r="F305" s="19" t="s">
        <v>607</v>
      </c>
      <c r="G305" s="13" t="s">
        <v>861</v>
      </c>
    </row>
    <row r="306" ht="15.75" spans="6:7">
      <c r="F306" s="19" t="s">
        <v>607</v>
      </c>
      <c r="G306" s="13" t="s">
        <v>862</v>
      </c>
    </row>
    <row r="307" ht="15.75" spans="6:7">
      <c r="F307" s="19" t="s">
        <v>607</v>
      </c>
      <c r="G307" s="13" t="s">
        <v>863</v>
      </c>
    </row>
    <row r="308" ht="15.75" spans="6:7">
      <c r="F308" s="19" t="s">
        <v>607</v>
      </c>
      <c r="G308" s="13" t="s">
        <v>864</v>
      </c>
    </row>
    <row r="309" ht="15.75" spans="6:7">
      <c r="F309" s="19" t="s">
        <v>607</v>
      </c>
      <c r="G309" s="13" t="s">
        <v>865</v>
      </c>
    </row>
    <row r="310" ht="15.75" spans="6:7">
      <c r="F310" s="19" t="s">
        <v>607</v>
      </c>
      <c r="G310" s="13" t="s">
        <v>866</v>
      </c>
    </row>
    <row r="311" ht="15.75" spans="6:7">
      <c r="F311" s="19" t="s">
        <v>607</v>
      </c>
      <c r="G311" s="13" t="s">
        <v>867</v>
      </c>
    </row>
    <row r="312" ht="15.75" spans="6:7">
      <c r="F312" s="19" t="s">
        <v>607</v>
      </c>
      <c r="G312" s="13" t="s">
        <v>868</v>
      </c>
    </row>
    <row r="313" ht="15.75" spans="6:7">
      <c r="F313" s="19" t="s">
        <v>607</v>
      </c>
      <c r="G313" s="13" t="s">
        <v>869</v>
      </c>
    </row>
    <row r="314" ht="15.75" spans="6:7">
      <c r="F314" s="19" t="s">
        <v>607</v>
      </c>
      <c r="G314" s="13" t="s">
        <v>870</v>
      </c>
    </row>
    <row r="315" ht="15.75" spans="6:7">
      <c r="F315" s="19" t="s">
        <v>607</v>
      </c>
      <c r="G315" s="13" t="s">
        <v>871</v>
      </c>
    </row>
    <row r="316" ht="15.75" spans="6:7">
      <c r="F316" s="19" t="s">
        <v>607</v>
      </c>
      <c r="G316" s="13" t="s">
        <v>872</v>
      </c>
    </row>
    <row r="317" ht="15.75" spans="6:7">
      <c r="F317" s="19" t="s">
        <v>607</v>
      </c>
      <c r="G317" s="13" t="s">
        <v>873</v>
      </c>
    </row>
    <row r="318" ht="15.75" spans="6:7">
      <c r="F318" s="19" t="s">
        <v>607</v>
      </c>
      <c r="G318" s="13" t="s">
        <v>874</v>
      </c>
    </row>
    <row r="319" ht="15.75" spans="6:7">
      <c r="F319" s="19" t="s">
        <v>607</v>
      </c>
      <c r="G319" s="13" t="s">
        <v>875</v>
      </c>
    </row>
    <row r="320" ht="15.75" spans="6:7">
      <c r="F320" s="19" t="s">
        <v>607</v>
      </c>
      <c r="G320" s="13" t="s">
        <v>876</v>
      </c>
    </row>
    <row r="321" ht="15.75" spans="6:7">
      <c r="F321" s="19" t="s">
        <v>607</v>
      </c>
      <c r="G321" s="13" t="s">
        <v>877</v>
      </c>
    </row>
    <row r="322" ht="15.75" spans="6:7">
      <c r="F322" s="19" t="s">
        <v>607</v>
      </c>
      <c r="G322" s="13" t="s">
        <v>878</v>
      </c>
    </row>
    <row r="323" ht="15.75" spans="6:7">
      <c r="F323" s="19" t="s">
        <v>607</v>
      </c>
      <c r="G323" s="13" t="s">
        <v>879</v>
      </c>
    </row>
    <row r="324" ht="15.75" spans="6:7">
      <c r="F324" s="19" t="s">
        <v>607</v>
      </c>
      <c r="G324" s="13" t="s">
        <v>880</v>
      </c>
    </row>
    <row r="325" ht="15.75" spans="6:7">
      <c r="F325" s="19" t="s">
        <v>607</v>
      </c>
      <c r="G325" s="13" t="s">
        <v>881</v>
      </c>
    </row>
    <row r="326" ht="15.75" spans="6:7">
      <c r="F326" s="19" t="s">
        <v>607</v>
      </c>
      <c r="G326" s="13" t="s">
        <v>882</v>
      </c>
    </row>
    <row r="327" ht="15.75" spans="6:7">
      <c r="F327" s="19" t="s">
        <v>607</v>
      </c>
      <c r="G327" s="13" t="s">
        <v>883</v>
      </c>
    </row>
    <row r="328" ht="15.75" spans="6:7">
      <c r="F328" s="19" t="s">
        <v>607</v>
      </c>
      <c r="G328" s="13" t="s">
        <v>884</v>
      </c>
    </row>
    <row r="329" ht="15.75" spans="6:7">
      <c r="F329" s="19" t="s">
        <v>607</v>
      </c>
      <c r="G329" s="13" t="s">
        <v>885</v>
      </c>
    </row>
    <row r="330" ht="15.75" spans="6:7">
      <c r="F330" s="19" t="s">
        <v>607</v>
      </c>
      <c r="G330" s="13" t="s">
        <v>886</v>
      </c>
    </row>
    <row r="331" ht="15.75" spans="6:7">
      <c r="F331" s="19" t="s">
        <v>607</v>
      </c>
      <c r="G331" s="13" t="s">
        <v>887</v>
      </c>
    </row>
    <row r="332" ht="15.75" spans="6:7">
      <c r="F332" s="19" t="s">
        <v>607</v>
      </c>
      <c r="G332" s="13" t="s">
        <v>888</v>
      </c>
    </row>
    <row r="333" ht="15.75" spans="6:7">
      <c r="F333" s="19" t="s">
        <v>607</v>
      </c>
      <c r="G333" s="13" t="s">
        <v>889</v>
      </c>
    </row>
    <row r="334" ht="15.75" spans="6:7">
      <c r="F334" s="19" t="s">
        <v>607</v>
      </c>
      <c r="G334" s="13" t="s">
        <v>890</v>
      </c>
    </row>
    <row r="335" ht="15.75" spans="6:7">
      <c r="F335" s="19" t="s">
        <v>607</v>
      </c>
      <c r="G335" s="13" t="s">
        <v>891</v>
      </c>
    </row>
    <row r="336" ht="15.75" spans="6:7">
      <c r="F336" s="19" t="s">
        <v>607</v>
      </c>
      <c r="G336" s="13" t="s">
        <v>892</v>
      </c>
    </row>
    <row r="337" ht="15.75" spans="6:7">
      <c r="F337" s="19" t="s">
        <v>607</v>
      </c>
      <c r="G337" s="13" t="s">
        <v>893</v>
      </c>
    </row>
    <row r="338" ht="15.75" spans="6:7">
      <c r="F338" s="19" t="s">
        <v>607</v>
      </c>
      <c r="G338" s="13" t="s">
        <v>894</v>
      </c>
    </row>
    <row r="339" ht="15.75" spans="6:7">
      <c r="F339" s="19" t="s">
        <v>607</v>
      </c>
      <c r="G339" s="13" t="s">
        <v>895</v>
      </c>
    </row>
    <row r="340" ht="15.75" spans="6:7">
      <c r="F340" s="19" t="s">
        <v>607</v>
      </c>
      <c r="G340" s="13" t="s">
        <v>896</v>
      </c>
    </row>
    <row r="341" ht="15.75" spans="6:7">
      <c r="F341" s="19" t="s">
        <v>607</v>
      </c>
      <c r="G341" s="13" t="s">
        <v>897</v>
      </c>
    </row>
    <row r="342" ht="15.75" spans="6:7">
      <c r="F342" s="19" t="s">
        <v>607</v>
      </c>
      <c r="G342" s="13" t="s">
        <v>898</v>
      </c>
    </row>
    <row r="343" ht="15.75" spans="6:7">
      <c r="F343" s="19" t="s">
        <v>607</v>
      </c>
      <c r="G343" s="13" t="s">
        <v>899</v>
      </c>
    </row>
    <row r="344" ht="15.75" spans="6:7">
      <c r="F344" s="19" t="s">
        <v>607</v>
      </c>
      <c r="G344" s="13" t="s">
        <v>900</v>
      </c>
    </row>
    <row r="345" ht="15.75" spans="6:7">
      <c r="F345" s="19" t="s">
        <v>607</v>
      </c>
      <c r="G345" s="13" t="s">
        <v>901</v>
      </c>
    </row>
    <row r="346" ht="15.75" spans="6:7">
      <c r="F346" s="19" t="s">
        <v>607</v>
      </c>
      <c r="G346" s="13" t="s">
        <v>902</v>
      </c>
    </row>
    <row r="347" ht="15.75" spans="6:7">
      <c r="F347" s="19" t="s">
        <v>607</v>
      </c>
      <c r="G347" s="13" t="s">
        <v>903</v>
      </c>
    </row>
    <row r="348" ht="15.75" spans="6:7">
      <c r="F348" s="19" t="s">
        <v>607</v>
      </c>
      <c r="G348" s="13" t="s">
        <v>904</v>
      </c>
    </row>
    <row r="349" ht="15.75" spans="6:7">
      <c r="F349" s="19" t="s">
        <v>607</v>
      </c>
      <c r="G349" s="13" t="s">
        <v>905</v>
      </c>
    </row>
    <row r="350" ht="15.75" spans="6:7">
      <c r="F350" s="19" t="s">
        <v>607</v>
      </c>
      <c r="G350" s="13" t="s">
        <v>906</v>
      </c>
    </row>
    <row r="351" ht="15.75" spans="6:7">
      <c r="F351" s="19" t="s">
        <v>607</v>
      </c>
      <c r="G351" s="13" t="s">
        <v>907</v>
      </c>
    </row>
    <row r="352" ht="15.75" spans="6:7">
      <c r="F352" s="19" t="s">
        <v>609</v>
      </c>
      <c r="G352" s="13" t="s">
        <v>908</v>
      </c>
    </row>
    <row r="353" ht="15.75" spans="6:7">
      <c r="F353" s="19" t="s">
        <v>461</v>
      </c>
      <c r="G353" s="13" t="s">
        <v>909</v>
      </c>
    </row>
    <row r="354" ht="15.75" spans="6:7">
      <c r="F354" s="19" t="s">
        <v>461</v>
      </c>
      <c r="G354" s="13" t="s">
        <v>910</v>
      </c>
    </row>
    <row r="355" ht="15.75" spans="6:7">
      <c r="F355" s="19" t="s">
        <v>461</v>
      </c>
      <c r="G355" s="13" t="s">
        <v>911</v>
      </c>
    </row>
    <row r="356" ht="15.75" spans="6:7">
      <c r="F356" s="19" t="s">
        <v>462</v>
      </c>
      <c r="G356" s="13" t="s">
        <v>912</v>
      </c>
    </row>
    <row r="357" ht="15.75" spans="6:7">
      <c r="F357" s="19" t="s">
        <v>464</v>
      </c>
      <c r="G357" s="13" t="s">
        <v>913</v>
      </c>
    </row>
    <row r="358" ht="15.75" spans="6:7">
      <c r="F358" s="19" t="s">
        <v>464</v>
      </c>
      <c r="G358" s="13" t="s">
        <v>914</v>
      </c>
    </row>
    <row r="359" ht="15.75" spans="6:7">
      <c r="F359" s="19" t="s">
        <v>507</v>
      </c>
      <c r="G359" s="13" t="s">
        <v>915</v>
      </c>
    </row>
    <row r="360" ht="15.75" spans="6:7">
      <c r="F360" s="19" t="s">
        <v>507</v>
      </c>
      <c r="G360" s="13" t="s">
        <v>916</v>
      </c>
    </row>
    <row r="361" ht="15.75" spans="6:7">
      <c r="F361" s="19" t="s">
        <v>507</v>
      </c>
      <c r="G361" s="13" t="s">
        <v>917</v>
      </c>
    </row>
    <row r="362" ht="15.75" spans="6:7">
      <c r="F362" s="19" t="s">
        <v>508</v>
      </c>
      <c r="G362" s="13" t="s">
        <v>918</v>
      </c>
    </row>
    <row r="363" ht="15.75" spans="6:7">
      <c r="F363" s="19" t="s">
        <v>509</v>
      </c>
      <c r="G363" s="13" t="s">
        <v>919</v>
      </c>
    </row>
    <row r="364" ht="15.75" spans="6:7">
      <c r="F364" s="19" t="s">
        <v>617</v>
      </c>
      <c r="G364" s="13" t="s">
        <v>920</v>
      </c>
    </row>
    <row r="365" ht="15.75" spans="6:7">
      <c r="F365" s="19" t="s">
        <v>510</v>
      </c>
      <c r="G365" s="13" t="s">
        <v>921</v>
      </c>
    </row>
    <row r="366" ht="15.75" spans="6:7">
      <c r="F366" s="19" t="s">
        <v>510</v>
      </c>
      <c r="G366" s="19" t="s">
        <v>922</v>
      </c>
    </row>
    <row r="367" ht="15.75" spans="6:7">
      <c r="F367" s="19" t="s">
        <v>510</v>
      </c>
      <c r="G367" s="13" t="s">
        <v>923</v>
      </c>
    </row>
    <row r="368" ht="15.75" spans="6:7">
      <c r="F368" s="19" t="s">
        <v>511</v>
      </c>
      <c r="G368" s="13" t="s">
        <v>924</v>
      </c>
    </row>
    <row r="369" ht="15.75" spans="6:7">
      <c r="F369" s="19" t="s">
        <v>511</v>
      </c>
      <c r="G369" s="13" t="s">
        <v>925</v>
      </c>
    </row>
    <row r="370" ht="15.75" spans="6:7">
      <c r="F370" s="19" t="s">
        <v>511</v>
      </c>
      <c r="G370" s="13" t="s">
        <v>926</v>
      </c>
    </row>
    <row r="371" ht="15.75" spans="6:7">
      <c r="F371" s="19" t="s">
        <v>511</v>
      </c>
      <c r="G371" s="13" t="s">
        <v>927</v>
      </c>
    </row>
    <row r="372" ht="15.75" spans="6:7">
      <c r="F372" s="19" t="s">
        <v>511</v>
      </c>
      <c r="G372" s="13" t="s">
        <v>928</v>
      </c>
    </row>
    <row r="373" ht="15.75" spans="6:7">
      <c r="F373" s="19" t="s">
        <v>511</v>
      </c>
      <c r="G373" s="13" t="s">
        <v>929</v>
      </c>
    </row>
    <row r="374" ht="15.75" spans="6:7">
      <c r="F374" s="19" t="s">
        <v>511</v>
      </c>
      <c r="G374" s="13" t="s">
        <v>930</v>
      </c>
    </row>
    <row r="375" ht="15.75" spans="6:7">
      <c r="F375" s="19" t="s">
        <v>511</v>
      </c>
      <c r="G375" s="13" t="s">
        <v>931</v>
      </c>
    </row>
    <row r="376" ht="15.75" spans="6:7">
      <c r="F376" s="19" t="s">
        <v>511</v>
      </c>
      <c r="G376" s="13" t="s">
        <v>932</v>
      </c>
    </row>
    <row r="377" ht="15.75" spans="6:7">
      <c r="F377" s="19" t="s">
        <v>511</v>
      </c>
      <c r="G377" s="13" t="s">
        <v>933</v>
      </c>
    </row>
    <row r="378" ht="15.75" spans="6:7">
      <c r="F378" s="19" t="s">
        <v>511</v>
      </c>
      <c r="G378" s="13" t="s">
        <v>934</v>
      </c>
    </row>
    <row r="379" ht="15.75" spans="6:7">
      <c r="F379" s="19" t="s">
        <v>511</v>
      </c>
      <c r="G379" s="13" t="s">
        <v>935</v>
      </c>
    </row>
    <row r="380" ht="15.75" spans="6:7">
      <c r="F380" s="19" t="s">
        <v>511</v>
      </c>
      <c r="G380" s="13" t="s">
        <v>936</v>
      </c>
    </row>
    <row r="381" ht="15.75" spans="6:7">
      <c r="F381" s="19" t="s">
        <v>511</v>
      </c>
      <c r="G381" s="13" t="s">
        <v>937</v>
      </c>
    </row>
    <row r="382" ht="15.75" spans="6:7">
      <c r="F382" s="19" t="s">
        <v>511</v>
      </c>
      <c r="G382" s="13" t="s">
        <v>938</v>
      </c>
    </row>
    <row r="383" ht="15.75" spans="6:7">
      <c r="F383" s="19" t="s">
        <v>512</v>
      </c>
      <c r="G383" s="13" t="s">
        <v>939</v>
      </c>
    </row>
    <row r="384" ht="15.75" spans="6:7">
      <c r="F384" s="19" t="s">
        <v>512</v>
      </c>
      <c r="G384" s="13" t="s">
        <v>940</v>
      </c>
    </row>
    <row r="385" ht="15.75" spans="6:7">
      <c r="F385" s="19" t="s">
        <v>512</v>
      </c>
      <c r="G385" s="13" t="s">
        <v>941</v>
      </c>
    </row>
    <row r="386" ht="15.75" spans="6:7">
      <c r="F386" s="19" t="s">
        <v>512</v>
      </c>
      <c r="G386" s="13" t="s">
        <v>942</v>
      </c>
    </row>
    <row r="387" ht="15.75" spans="6:7">
      <c r="F387" s="19" t="s">
        <v>512</v>
      </c>
      <c r="G387" s="13" t="s">
        <v>943</v>
      </c>
    </row>
    <row r="388" ht="15.75" spans="6:7">
      <c r="F388" s="19" t="s">
        <v>512</v>
      </c>
      <c r="G388" s="13" t="s">
        <v>944</v>
      </c>
    </row>
    <row r="389" ht="15.75" spans="6:7">
      <c r="F389" s="19" t="s">
        <v>513</v>
      </c>
      <c r="G389" s="13" t="s">
        <v>945</v>
      </c>
    </row>
    <row r="390" ht="15.75" spans="6:7">
      <c r="F390" s="19" t="s">
        <v>513</v>
      </c>
      <c r="G390" s="13" t="s">
        <v>946</v>
      </c>
    </row>
    <row r="391" ht="15.75" spans="6:7">
      <c r="F391" s="19" t="s">
        <v>472</v>
      </c>
      <c r="G391" s="13" t="s">
        <v>947</v>
      </c>
    </row>
    <row r="392" ht="15.75" spans="6:7">
      <c r="F392" s="19" t="s">
        <v>472</v>
      </c>
      <c r="G392" s="13" t="s">
        <v>948</v>
      </c>
    </row>
    <row r="393" ht="15.75" spans="6:7">
      <c r="F393" s="19" t="s">
        <v>472</v>
      </c>
      <c r="G393" s="13" t="s">
        <v>949</v>
      </c>
    </row>
    <row r="394" ht="15.75" spans="6:7">
      <c r="F394" s="19" t="s">
        <v>472</v>
      </c>
      <c r="G394" s="13" t="s">
        <v>950</v>
      </c>
    </row>
    <row r="395" ht="15.75" spans="6:7">
      <c r="F395" s="19" t="s">
        <v>472</v>
      </c>
      <c r="G395" s="13" t="s">
        <v>951</v>
      </c>
    </row>
    <row r="396" ht="15.75" spans="6:7">
      <c r="F396" s="19" t="s">
        <v>514</v>
      </c>
      <c r="G396" s="13" t="s">
        <v>952</v>
      </c>
    </row>
    <row r="397" ht="15.75" spans="6:7">
      <c r="F397" s="19" t="s">
        <v>515</v>
      </c>
      <c r="G397" s="13" t="s">
        <v>953</v>
      </c>
    </row>
    <row r="398" ht="15.75" spans="6:7">
      <c r="F398" s="19" t="s">
        <v>515</v>
      </c>
      <c r="G398" s="13" t="s">
        <v>954</v>
      </c>
    </row>
    <row r="399" ht="15.75" spans="6:7">
      <c r="F399" s="19" t="s">
        <v>515</v>
      </c>
      <c r="G399" s="13" t="s">
        <v>955</v>
      </c>
    </row>
    <row r="400" ht="15.75" spans="6:7">
      <c r="F400" s="19" t="s">
        <v>516</v>
      </c>
      <c r="G400" s="13" t="s">
        <v>956</v>
      </c>
    </row>
    <row r="401" ht="15.75" spans="6:7">
      <c r="F401" s="19" t="s">
        <v>516</v>
      </c>
      <c r="G401" s="13" t="s">
        <v>957</v>
      </c>
    </row>
    <row r="402" ht="15.75" spans="6:7">
      <c r="F402" s="19" t="s">
        <v>516</v>
      </c>
      <c r="G402" s="13" t="s">
        <v>958</v>
      </c>
    </row>
    <row r="403" ht="15.75" spans="6:7">
      <c r="F403" s="19" t="s">
        <v>516</v>
      </c>
      <c r="G403" s="13" t="s">
        <v>959</v>
      </c>
    </row>
    <row r="404" ht="15.75" spans="6:7">
      <c r="F404" s="19" t="s">
        <v>516</v>
      </c>
      <c r="G404" s="13" t="s">
        <v>960</v>
      </c>
    </row>
    <row r="405" ht="15.75" spans="6:7">
      <c r="F405" s="19" t="s">
        <v>517</v>
      </c>
      <c r="G405" s="13" t="s">
        <v>961</v>
      </c>
    </row>
    <row r="406" ht="15.75" spans="6:7">
      <c r="F406" s="19" t="s">
        <v>628</v>
      </c>
      <c r="G406" s="13" t="s">
        <v>962</v>
      </c>
    </row>
    <row r="407" ht="15.75" spans="6:7">
      <c r="F407" s="19" t="s">
        <v>628</v>
      </c>
      <c r="G407" s="13" t="s">
        <v>963</v>
      </c>
    </row>
    <row r="408" ht="15.75" spans="6:7">
      <c r="F408" s="19" t="s">
        <v>628</v>
      </c>
      <c r="G408" s="13" t="s">
        <v>964</v>
      </c>
    </row>
    <row r="409" ht="15.75" spans="6:7">
      <c r="F409" s="19" t="s">
        <v>628</v>
      </c>
      <c r="G409" s="13" t="s">
        <v>965</v>
      </c>
    </row>
    <row r="410" ht="15.75" spans="6:7">
      <c r="F410" s="19" t="s">
        <v>628</v>
      </c>
      <c r="G410" s="13" t="s">
        <v>966</v>
      </c>
    </row>
    <row r="411" ht="15.75" spans="6:7">
      <c r="F411" s="19" t="s">
        <v>628</v>
      </c>
      <c r="G411" s="13" t="s">
        <v>967</v>
      </c>
    </row>
    <row r="412" ht="15.75" spans="6:7">
      <c r="F412" s="19" t="s">
        <v>628</v>
      </c>
      <c r="G412" s="13" t="s">
        <v>968</v>
      </c>
    </row>
    <row r="413" ht="15.75" spans="6:7">
      <c r="F413" s="19" t="s">
        <v>628</v>
      </c>
      <c r="G413" s="13" t="s">
        <v>969</v>
      </c>
    </row>
    <row r="414" ht="15.75" spans="6:7">
      <c r="F414" s="19" t="s">
        <v>463</v>
      </c>
      <c r="G414" s="13" t="s">
        <v>970</v>
      </c>
    </row>
    <row r="415" ht="15.75" spans="6:7">
      <c r="F415" s="19" t="s">
        <v>463</v>
      </c>
      <c r="G415" s="13" t="s">
        <v>971</v>
      </c>
    </row>
    <row r="416" ht="15.75" spans="6:7">
      <c r="F416" s="19" t="s">
        <v>463</v>
      </c>
      <c r="G416" s="13" t="s">
        <v>972</v>
      </c>
    </row>
    <row r="417" ht="15.75" spans="6:7">
      <c r="F417" s="19" t="s">
        <v>519</v>
      </c>
      <c r="G417" s="13" t="s">
        <v>973</v>
      </c>
    </row>
    <row r="418" ht="15.75" spans="6:7">
      <c r="F418" s="19" t="s">
        <v>519</v>
      </c>
      <c r="G418" s="13" t="s">
        <v>974</v>
      </c>
    </row>
    <row r="419" ht="15.75" spans="6:7">
      <c r="F419" s="19" t="s">
        <v>473</v>
      </c>
      <c r="G419" s="13" t="s">
        <v>975</v>
      </c>
    </row>
    <row r="420" ht="15.75" spans="6:7">
      <c r="F420" s="19" t="s">
        <v>473</v>
      </c>
      <c r="G420" s="13" t="s">
        <v>976</v>
      </c>
    </row>
    <row r="421" ht="15.75" spans="6:7">
      <c r="F421" s="19" t="s">
        <v>473</v>
      </c>
      <c r="G421" s="13" t="s">
        <v>977</v>
      </c>
    </row>
    <row r="422" ht="15.75" spans="6:7">
      <c r="F422" s="19" t="s">
        <v>473</v>
      </c>
      <c r="G422" s="13" t="s">
        <v>978</v>
      </c>
    </row>
    <row r="423" ht="15.75" spans="6:7">
      <c r="F423" s="19" t="s">
        <v>473</v>
      </c>
      <c r="G423" s="13" t="s">
        <v>979</v>
      </c>
    </row>
    <row r="424" ht="15.75" spans="6:7">
      <c r="F424" s="19" t="s">
        <v>473</v>
      </c>
      <c r="G424" s="13" t="s">
        <v>980</v>
      </c>
    </row>
    <row r="425" ht="15.75" spans="6:7">
      <c r="F425" s="19" t="s">
        <v>473</v>
      </c>
      <c r="G425" s="13" t="s">
        <v>981</v>
      </c>
    </row>
    <row r="426" ht="15.75" spans="6:7">
      <c r="F426" s="19" t="s">
        <v>473</v>
      </c>
      <c r="G426" s="13" t="s">
        <v>982</v>
      </c>
    </row>
    <row r="427" ht="15.75" spans="6:7">
      <c r="F427" s="19" t="s">
        <v>473</v>
      </c>
      <c r="G427" s="13" t="s">
        <v>983</v>
      </c>
    </row>
    <row r="428" ht="15.75" spans="6:7">
      <c r="F428" s="19" t="s">
        <v>473</v>
      </c>
      <c r="G428" s="13" t="s">
        <v>984</v>
      </c>
    </row>
    <row r="429" ht="15.75" spans="6:7">
      <c r="F429" s="19" t="s">
        <v>473</v>
      </c>
      <c r="G429" s="13" t="s">
        <v>985</v>
      </c>
    </row>
    <row r="430" ht="15.75" spans="6:7">
      <c r="F430" s="19" t="s">
        <v>473</v>
      </c>
      <c r="G430" s="13" t="s">
        <v>986</v>
      </c>
    </row>
    <row r="431" ht="15.75" spans="6:7">
      <c r="F431" s="19" t="s">
        <v>473</v>
      </c>
      <c r="G431" s="13" t="s">
        <v>987</v>
      </c>
    </row>
    <row r="432" ht="15.75" spans="6:7">
      <c r="F432" s="19" t="s">
        <v>473</v>
      </c>
      <c r="G432" s="13" t="s">
        <v>988</v>
      </c>
    </row>
    <row r="433" ht="15.75" spans="6:7">
      <c r="F433" s="19" t="s">
        <v>473</v>
      </c>
      <c r="G433" s="13" t="s">
        <v>989</v>
      </c>
    </row>
    <row r="434" ht="15.75" spans="6:7">
      <c r="F434" s="19" t="s">
        <v>473</v>
      </c>
      <c r="G434" s="13" t="s">
        <v>990</v>
      </c>
    </row>
    <row r="435" ht="15.75" spans="6:7">
      <c r="F435" s="19" t="s">
        <v>473</v>
      </c>
      <c r="G435" s="13" t="s">
        <v>991</v>
      </c>
    </row>
    <row r="436" ht="15.75" spans="6:7">
      <c r="F436" s="19" t="s">
        <v>473</v>
      </c>
      <c r="G436" s="13" t="s">
        <v>992</v>
      </c>
    </row>
    <row r="437" ht="15.75" spans="6:7">
      <c r="F437" s="19" t="s">
        <v>473</v>
      </c>
      <c r="G437" s="13" t="s">
        <v>993</v>
      </c>
    </row>
    <row r="438" ht="15.75" spans="6:7">
      <c r="F438" s="19" t="s">
        <v>473</v>
      </c>
      <c r="G438" s="13" t="s">
        <v>725</v>
      </c>
    </row>
    <row r="439" ht="15.75" spans="6:7">
      <c r="F439" s="19" t="s">
        <v>473</v>
      </c>
      <c r="G439" s="13" t="s">
        <v>994</v>
      </c>
    </row>
    <row r="440" ht="15.75" spans="6:7">
      <c r="F440" s="19" t="s">
        <v>473</v>
      </c>
      <c r="G440" s="13" t="s">
        <v>995</v>
      </c>
    </row>
    <row r="441" ht="15.75" spans="6:7">
      <c r="F441" s="19" t="s">
        <v>473</v>
      </c>
      <c r="G441" s="13" t="s">
        <v>996</v>
      </c>
    </row>
    <row r="442" ht="15.75" spans="6:7">
      <c r="F442" s="19" t="s">
        <v>633</v>
      </c>
      <c r="G442" s="13" t="s">
        <v>997</v>
      </c>
    </row>
    <row r="443" ht="15.75" spans="6:7">
      <c r="F443" s="19" t="s">
        <v>633</v>
      </c>
      <c r="G443" s="13" t="s">
        <v>998</v>
      </c>
    </row>
    <row r="444" ht="15.75" spans="6:7">
      <c r="F444" s="19" t="s">
        <v>633</v>
      </c>
      <c r="G444" s="13" t="s">
        <v>999</v>
      </c>
    </row>
    <row r="445" ht="15.75" spans="6:7">
      <c r="F445" s="19" t="s">
        <v>633</v>
      </c>
      <c r="G445" s="13" t="s">
        <v>1000</v>
      </c>
    </row>
    <row r="446" ht="15.75" spans="6:7">
      <c r="F446" s="19" t="s">
        <v>520</v>
      </c>
      <c r="G446" s="13" t="s">
        <v>1001</v>
      </c>
    </row>
    <row r="447" ht="15.75" spans="6:7">
      <c r="F447" s="19" t="s">
        <v>520</v>
      </c>
      <c r="G447" s="13" t="s">
        <v>1002</v>
      </c>
    </row>
    <row r="448" ht="15.75" spans="6:7">
      <c r="F448" s="19" t="s">
        <v>520</v>
      </c>
      <c r="G448" s="13" t="s">
        <v>1003</v>
      </c>
    </row>
    <row r="449" ht="15.75" spans="6:7">
      <c r="F449" s="19" t="s">
        <v>465</v>
      </c>
      <c r="G449" s="13" t="s">
        <v>1004</v>
      </c>
    </row>
    <row r="450" ht="15.75" spans="6:7">
      <c r="F450" s="19" t="s">
        <v>1005</v>
      </c>
      <c r="G450" s="13" t="s">
        <v>1006</v>
      </c>
    </row>
    <row r="451" ht="15.75" spans="6:7">
      <c r="F451" s="19" t="s">
        <v>1005</v>
      </c>
      <c r="G451" s="13" t="s">
        <v>1007</v>
      </c>
    </row>
    <row r="452" ht="15.75" spans="6:7">
      <c r="F452" s="19" t="s">
        <v>639</v>
      </c>
      <c r="G452" s="13" t="s">
        <v>1008</v>
      </c>
    </row>
    <row r="453" ht="15.75" spans="6:7">
      <c r="F453" s="19" t="s">
        <v>639</v>
      </c>
      <c r="G453" s="13" t="s">
        <v>997</v>
      </c>
    </row>
    <row r="454" ht="15.75" spans="6:7">
      <c r="F454" s="19" t="s">
        <v>639</v>
      </c>
      <c r="G454" s="13" t="s">
        <v>652</v>
      </c>
    </row>
    <row r="455" ht="15.75" spans="6:7">
      <c r="F455" s="19" t="s">
        <v>639</v>
      </c>
      <c r="G455" s="13" t="s">
        <v>1009</v>
      </c>
    </row>
    <row r="456" ht="15.75" spans="6:7">
      <c r="F456" s="19" t="s">
        <v>639</v>
      </c>
      <c r="G456" s="13" t="s">
        <v>1010</v>
      </c>
    </row>
    <row r="457" ht="15.75" spans="6:7">
      <c r="F457" s="19" t="s">
        <v>639</v>
      </c>
      <c r="G457" s="13" t="s">
        <v>1011</v>
      </c>
    </row>
    <row r="458" ht="15.75" spans="6:7">
      <c r="F458" s="19" t="s">
        <v>639</v>
      </c>
      <c r="G458" s="13" t="s">
        <v>1012</v>
      </c>
    </row>
    <row r="459" ht="15.75" spans="6:7">
      <c r="F459" s="19" t="s">
        <v>641</v>
      </c>
      <c r="G459" s="13" t="s">
        <v>1013</v>
      </c>
    </row>
    <row r="460" ht="15.75" spans="6:7">
      <c r="F460" s="19" t="s">
        <v>641</v>
      </c>
      <c r="G460" s="13" t="s">
        <v>1014</v>
      </c>
    </row>
    <row r="461" ht="15.75" spans="6:7">
      <c r="F461" s="19" t="s">
        <v>641</v>
      </c>
      <c r="G461" s="13" t="s">
        <v>1015</v>
      </c>
    </row>
    <row r="462" ht="15.75" spans="6:7">
      <c r="F462" s="19" t="s">
        <v>641</v>
      </c>
      <c r="G462" s="13" t="s">
        <v>1016</v>
      </c>
    </row>
    <row r="463" ht="15.75" spans="6:7">
      <c r="F463" s="19" t="s">
        <v>522</v>
      </c>
      <c r="G463" s="13" t="s">
        <v>1017</v>
      </c>
    </row>
    <row r="464" ht="15.75" spans="6:7">
      <c r="F464" s="19" t="s">
        <v>530</v>
      </c>
      <c r="G464" s="13" t="s">
        <v>1018</v>
      </c>
    </row>
    <row r="465" ht="15.75" spans="6:7">
      <c r="F465" s="19" t="s">
        <v>530</v>
      </c>
      <c r="G465" s="13" t="s">
        <v>1019</v>
      </c>
    </row>
    <row r="466" ht="15.75" spans="6:7">
      <c r="F466" s="19" t="s">
        <v>530</v>
      </c>
      <c r="G466" s="13" t="s">
        <v>1020</v>
      </c>
    </row>
    <row r="467" ht="15.75" spans="6:7">
      <c r="F467" s="19" t="s">
        <v>530</v>
      </c>
      <c r="G467" s="13" t="s">
        <v>1021</v>
      </c>
    </row>
    <row r="468" ht="15.75" spans="6:7">
      <c r="F468" s="19" t="s">
        <v>530</v>
      </c>
      <c r="G468" s="13" t="s">
        <v>1022</v>
      </c>
    </row>
    <row r="469" ht="15.75" spans="6:7">
      <c r="F469" s="19" t="s">
        <v>645</v>
      </c>
      <c r="G469" s="13" t="s">
        <v>1023</v>
      </c>
    </row>
    <row r="470" ht="15.75" spans="6:7">
      <c r="F470" s="19"/>
      <c r="G470" s="13"/>
    </row>
    <row r="471" ht="15.75" spans="6:7">
      <c r="F471" s="19"/>
      <c r="G471" s="13"/>
    </row>
    <row r="472" ht="15.75" spans="6:7">
      <c r="F472" s="19"/>
      <c r="G472" s="13"/>
    </row>
    <row r="473" ht="15.75" spans="6:7">
      <c r="F473" s="19"/>
      <c r="G473" s="13"/>
    </row>
    <row r="474" ht="15.75" spans="6:7">
      <c r="F474" s="19"/>
      <c r="G474" s="13"/>
    </row>
    <row r="475" ht="15.75" spans="6:7">
      <c r="F475" s="19"/>
      <c r="G475" s="13"/>
    </row>
    <row r="476" ht="15.75" spans="6:7">
      <c r="F476" s="19"/>
      <c r="G476" s="13"/>
    </row>
    <row r="477" ht="15.75" spans="6:7">
      <c r="F477" s="19"/>
      <c r="G477" s="13"/>
    </row>
    <row r="478" ht="15.75" spans="6:7">
      <c r="F478" s="19"/>
      <c r="G478" s="13"/>
    </row>
    <row r="479" ht="15.75" spans="6:7">
      <c r="F479" s="19"/>
      <c r="G479" s="13"/>
    </row>
    <row r="480" ht="15.75" spans="6:7">
      <c r="F480" s="19"/>
      <c r="G480" s="13"/>
    </row>
    <row r="481" ht="15.75" spans="6:7">
      <c r="F481" s="19"/>
      <c r="G481" s="13"/>
    </row>
    <row r="482" ht="15.75" spans="6:7">
      <c r="F482" s="19"/>
      <c r="G482" s="13"/>
    </row>
    <row r="483" ht="15.75" spans="6:7">
      <c r="F483" s="19"/>
      <c r="G483" s="13"/>
    </row>
    <row r="484" ht="15.75" spans="6:7">
      <c r="F484" s="19"/>
      <c r="G484" s="13"/>
    </row>
    <row r="485" ht="15.75" spans="6:7">
      <c r="F485" s="19"/>
      <c r="G485" s="13"/>
    </row>
    <row r="486" ht="15.75" spans="6:7">
      <c r="F486" s="19"/>
      <c r="G486" s="13"/>
    </row>
    <row r="487" ht="15.75" spans="6:7">
      <c r="F487" s="19"/>
      <c r="G487" s="13"/>
    </row>
    <row r="488" ht="15.75" spans="6:7">
      <c r="F488" s="19"/>
      <c r="G488" s="13"/>
    </row>
    <row r="489" ht="15.75" spans="6:7">
      <c r="F489" s="19"/>
      <c r="G489" s="13"/>
    </row>
    <row r="490" ht="15.75" spans="6:7">
      <c r="F490" s="19"/>
      <c r="G490" s="13"/>
    </row>
    <row r="491" ht="15.75" spans="6:7">
      <c r="F491" s="19"/>
      <c r="G491" s="13"/>
    </row>
    <row r="492" ht="15.75" spans="6:7">
      <c r="F492" s="19"/>
      <c r="G492" s="13"/>
    </row>
    <row r="493" ht="15.75" spans="6:7">
      <c r="F493" s="19"/>
      <c r="G493" s="13"/>
    </row>
    <row r="494" ht="15.75" spans="6:7">
      <c r="F494" s="19"/>
      <c r="G494" s="13"/>
    </row>
    <row r="495" ht="15.75" spans="6:7">
      <c r="F495" s="19"/>
      <c r="G495" s="13"/>
    </row>
    <row r="496" ht="15.75" spans="6:7">
      <c r="F496" s="19"/>
      <c r="G496" s="13"/>
    </row>
    <row r="497" ht="15.75" spans="6:7">
      <c r="F497" s="19"/>
      <c r="G497" s="13"/>
    </row>
    <row r="498" ht="15.75" spans="6:7">
      <c r="F498" s="19"/>
      <c r="G498" s="13"/>
    </row>
    <row r="499" ht="15.75" spans="6:7">
      <c r="F499" s="19"/>
      <c r="G499" s="13"/>
    </row>
    <row r="500" ht="15.75" spans="6:7">
      <c r="F500" s="19"/>
      <c r="G500" s="13"/>
    </row>
    <row r="501" ht="15.75" spans="6:7">
      <c r="F501" s="19"/>
      <c r="G501" s="13"/>
    </row>
    <row r="502" ht="15.75" spans="6:7">
      <c r="F502" s="19"/>
      <c r="G502" s="13"/>
    </row>
    <row r="503" ht="15.75" spans="6:7">
      <c r="F503" s="19"/>
      <c r="G503" s="13"/>
    </row>
    <row r="504" ht="15.75" spans="6:7">
      <c r="F504" s="19"/>
      <c r="G504" s="13"/>
    </row>
    <row r="505" ht="15.75" spans="6:7">
      <c r="F505" s="19"/>
      <c r="G505" s="13"/>
    </row>
    <row r="506" ht="15.75" spans="6:7">
      <c r="F506" s="19"/>
      <c r="G506" s="13"/>
    </row>
    <row r="507" ht="15.75" spans="6:7">
      <c r="F507" s="19"/>
      <c r="G507" s="13"/>
    </row>
    <row r="508" ht="15.75" spans="6:7">
      <c r="F508" s="19"/>
      <c r="G508" s="13"/>
    </row>
    <row r="509" ht="15.75" spans="6:7">
      <c r="F509" s="19"/>
      <c r="G509" s="13"/>
    </row>
    <row r="510" ht="15.75" spans="6:7">
      <c r="F510" s="19"/>
      <c r="G510" s="13"/>
    </row>
    <row r="511" ht="15.75" spans="6:7">
      <c r="F511" s="19"/>
      <c r="G511" s="13"/>
    </row>
    <row r="512" ht="15.75" spans="6:7">
      <c r="F512" s="19"/>
      <c r="G512" s="13"/>
    </row>
    <row r="513" ht="15.75" spans="6:7">
      <c r="F513" s="19"/>
      <c r="G513" s="13"/>
    </row>
    <row r="514" ht="15.75" spans="6:7">
      <c r="F514" s="19"/>
      <c r="G514" s="13"/>
    </row>
    <row r="515" ht="15.75" spans="6:7">
      <c r="F515" s="19"/>
      <c r="G515" s="13"/>
    </row>
    <row r="516" ht="15.75" spans="6:7">
      <c r="F516" s="19"/>
      <c r="G516" s="13"/>
    </row>
    <row r="517" ht="15.75" spans="6:7">
      <c r="F517" s="19"/>
      <c r="G517" s="13"/>
    </row>
    <row r="518" ht="15.75" spans="6:7">
      <c r="F518" s="19"/>
      <c r="G518" s="13"/>
    </row>
    <row r="519" ht="15.75" spans="6:7">
      <c r="F519" s="19"/>
      <c r="G519" s="13"/>
    </row>
    <row r="520" ht="15.75" spans="6:7">
      <c r="F520" s="19"/>
      <c r="G520" s="13"/>
    </row>
    <row r="521" ht="15.75" spans="6:7">
      <c r="F521" s="19"/>
      <c r="G521" s="13"/>
    </row>
    <row r="522" ht="15.75" spans="6:7">
      <c r="F522" s="19"/>
      <c r="G522" s="13"/>
    </row>
    <row r="523" ht="15.75" spans="6:7">
      <c r="F523" s="19"/>
      <c r="G523" s="13"/>
    </row>
    <row r="524" ht="15.75" spans="6:7">
      <c r="F524" s="19"/>
      <c r="G524" s="13"/>
    </row>
    <row r="525" ht="15.75" spans="6:7">
      <c r="F525" s="19"/>
      <c r="G525" s="13"/>
    </row>
    <row r="526" ht="15.75" spans="6:7">
      <c r="F526" s="19"/>
      <c r="G526" s="13"/>
    </row>
    <row r="527" ht="15.75" spans="6:7">
      <c r="F527" s="19"/>
      <c r="G527" s="13"/>
    </row>
    <row r="528" ht="15.75" spans="6:7">
      <c r="F528" s="19"/>
      <c r="G528" s="13"/>
    </row>
    <row r="529" ht="15.75" spans="6:7">
      <c r="F529" s="19"/>
      <c r="G529" s="13"/>
    </row>
    <row r="530" ht="15.75" spans="6:7">
      <c r="F530" s="19"/>
      <c r="G530" s="13"/>
    </row>
    <row r="531" ht="15.75" spans="6:7">
      <c r="F531" s="19"/>
      <c r="G531" s="13"/>
    </row>
    <row r="532" ht="15.75" spans="6:7">
      <c r="F532" s="19"/>
      <c r="G532" s="13"/>
    </row>
    <row r="533" ht="15.75" spans="6:7">
      <c r="F533" s="19"/>
      <c r="G533" s="13"/>
    </row>
    <row r="534" ht="15.75" spans="6:7">
      <c r="F534" s="19"/>
      <c r="G534" s="13"/>
    </row>
    <row r="535" ht="15.75" spans="6:7">
      <c r="F535" s="19"/>
      <c r="G535" s="28"/>
    </row>
    <row r="536" ht="15.75" spans="6:7">
      <c r="F536" s="19"/>
      <c r="G536" s="15"/>
    </row>
    <row r="537" ht="15.75" spans="6:7">
      <c r="F537" s="19"/>
      <c r="G537" s="15"/>
    </row>
    <row r="538" ht="15.75" spans="6:7">
      <c r="F538" s="19"/>
      <c r="G538" s="15"/>
    </row>
    <row r="539" ht="15.75" spans="6:7">
      <c r="F539" s="19"/>
      <c r="G539" s="15"/>
    </row>
    <row r="540" ht="15.75" spans="6:7">
      <c r="F540" s="19"/>
      <c r="G540" s="15"/>
    </row>
    <row r="541" ht="15.75" spans="6:7">
      <c r="F541" s="19"/>
      <c r="G541" s="15"/>
    </row>
    <row r="542" ht="15.75" spans="6:7">
      <c r="F542" s="19"/>
      <c r="G542" s="15"/>
    </row>
    <row r="551" spans="17:17">
      <c r="Q551" s="21" t="s">
        <v>28</v>
      </c>
    </row>
    <row r="552" customFormat="1" spans="1:17">
      <c r="A552" s="29" t="s">
        <v>1024</v>
      </c>
      <c r="B552" s="30"/>
      <c r="C552" s="31"/>
      <c r="D552" s="32"/>
      <c r="E552" s="32"/>
      <c r="F552" s="32"/>
      <c r="G552" s="32"/>
      <c r="H552" s="32"/>
      <c r="I552" s="32"/>
      <c r="J552" s="32"/>
      <c r="P552" t="s">
        <v>1025</v>
      </c>
      <c r="Q552" t="str">
        <f>IF(AND('2.УР ТЭ на нужды ОиВ'!$B$4="да",'2.УР ТЭ на нужды ОиВ'!$B$5="нет"),"Рекомендуется к установке ПУ теплоэнергии","")</f>
        <v/>
      </c>
    </row>
    <row r="553" customFormat="1" spans="1:17">
      <c r="A553" s="33" t="s">
        <v>42</v>
      </c>
      <c r="B553" s="34" t="s">
        <v>303</v>
      </c>
      <c r="C553" s="34" t="s">
        <v>1026</v>
      </c>
      <c r="D553" s="32"/>
      <c r="E553" s="32"/>
      <c r="F553" s="32"/>
      <c r="G553" s="32"/>
      <c r="H553" s="32"/>
      <c r="I553" s="32"/>
      <c r="J553" s="32"/>
      <c r="P553" t="s">
        <v>1027</v>
      </c>
      <c r="Q553" t="str">
        <f>IF(AND('3.УР горячей воды'!$B$4="да",'3.УР горячей воды'!$B$5="нет"),"Рекомендуется к установке ПУ горячей воды","")</f>
        <v/>
      </c>
    </row>
    <row r="554" customFormat="1" ht="16.5" customHeight="1" spans="1:17">
      <c r="A554" s="35" t="s">
        <v>1028</v>
      </c>
      <c r="B554" s="34" t="s">
        <v>308</v>
      </c>
      <c r="C554" s="36">
        <v>1.57</v>
      </c>
      <c r="D554" s="32"/>
      <c r="E554" s="32"/>
      <c r="F554" s="37"/>
      <c r="G554" s="37"/>
      <c r="H554" s="37"/>
      <c r="I554" s="37"/>
      <c r="J554" s="37"/>
      <c r="P554" t="s">
        <v>1029</v>
      </c>
      <c r="Q554" t="str">
        <f>IF(AND('4.УР холодной воды'!$B$4="да",'4.УР холодной воды'!$B$5="нет"),"Рекомендуется к установке ПУ холодной воды","")</f>
        <v/>
      </c>
    </row>
    <row r="555" customFormat="1" spans="1:17">
      <c r="A555" s="38" t="s">
        <v>331</v>
      </c>
      <c r="B555" s="34" t="s">
        <v>332</v>
      </c>
      <c r="C555" s="36">
        <v>1.154</v>
      </c>
      <c r="D555" s="32"/>
      <c r="E555" s="32"/>
      <c r="F555" s="32"/>
      <c r="G555" s="32"/>
      <c r="H555" s="32"/>
      <c r="I555" s="32"/>
      <c r="J555" s="32"/>
      <c r="P555" t="s">
        <v>1030</v>
      </c>
      <c r="Q555" t="str">
        <f>IF('5.УР ЭЭ'!$B$4="нет","Рекомендуется к установке ПУ электроэнергии","")</f>
        <v/>
      </c>
    </row>
    <row r="556" customFormat="1" ht="15.75" customHeight="1" spans="1:17">
      <c r="A556" s="35" t="s">
        <v>1031</v>
      </c>
      <c r="B556" s="34" t="s">
        <v>308</v>
      </c>
      <c r="C556" s="36">
        <v>1.57</v>
      </c>
      <c r="D556" s="32"/>
      <c r="E556" s="32"/>
      <c r="F556" s="32"/>
      <c r="G556" s="32"/>
      <c r="H556" s="32"/>
      <c r="I556" s="32"/>
      <c r="J556" s="32"/>
      <c r="P556" t="s">
        <v>1032</v>
      </c>
      <c r="Q556" t="str">
        <f>IF(AND('6.УР природного газа на цели ПП'!$B$4="да",'6.УР природного газа на цели ПП'!$B$5="нет"),"Рекомендуется к установке ПУ природного газа","")</f>
        <v/>
      </c>
    </row>
    <row r="557" customFormat="1" spans="1:19">
      <c r="A557" s="38" t="s">
        <v>1033</v>
      </c>
      <c r="B557" s="34" t="s">
        <v>308</v>
      </c>
      <c r="C557" s="36">
        <v>1.45</v>
      </c>
      <c r="D557" s="32"/>
      <c r="E557" s="32"/>
      <c r="F557" s="32"/>
      <c r="G557" s="32"/>
      <c r="H557" s="32"/>
      <c r="I557" s="32"/>
      <c r="J557" s="32"/>
      <c r="P557" t="s">
        <v>1034</v>
      </c>
      <c r="Q557" t="str">
        <f>IF('1.Общие данные по зданию'!C6="Нетиповое учреждение","Здание не принадлежит ни к одной из функционально-типологических групп объектов. Рекомендуется проведение энергетического обследования для уточнения потенциала ресурсосбережения","")</f>
        <v/>
      </c>
      <c r="S557" s="40">
        <f>1.36*1.154</f>
        <v>1.56944</v>
      </c>
    </row>
    <row r="558" customFormat="1" spans="1:17">
      <c r="A558" s="38" t="s">
        <v>335</v>
      </c>
      <c r="B558" s="34" t="s">
        <v>308</v>
      </c>
      <c r="C558" s="36">
        <v>1.43</v>
      </c>
      <c r="D558" s="32"/>
      <c r="E558" s="32"/>
      <c r="F558" s="32"/>
      <c r="G558" s="32"/>
      <c r="H558" s="32"/>
      <c r="I558" s="32"/>
      <c r="J558" s="32"/>
      <c r="P558" t="s">
        <v>1035</v>
      </c>
      <c r="Q558" t="str">
        <f>IF('1.Общие данные по зданию'!C8&gt;=2014,"Потенциалы и задания для здания моложе 5 лет могут быть приравнены к 0","")</f>
        <v/>
      </c>
    </row>
    <row r="559" customFormat="1" spans="1:17">
      <c r="A559" s="38" t="s">
        <v>166</v>
      </c>
      <c r="B559" s="34" t="s">
        <v>336</v>
      </c>
      <c r="C559" s="36">
        <f>0.123/1000</f>
        <v>0.000123</v>
      </c>
      <c r="D559" s="32"/>
      <c r="E559" s="32"/>
      <c r="F559" s="32"/>
      <c r="G559" s="32"/>
      <c r="H559" s="32"/>
      <c r="I559" s="32"/>
      <c r="J559" s="32"/>
      <c r="P559" t="s">
        <v>1036</v>
      </c>
      <c r="Q559" t="str">
        <f>IF('1.Общие данные по зданию'!C18="нет","Необходимо провести мероприятия для обеспечения соответствия температуры внутреннего воздуха минимально-нормативным требованиям","")</f>
        <v/>
      </c>
    </row>
    <row r="560" spans="1:10">
      <c r="A560" s="38" t="s">
        <v>1037</v>
      </c>
      <c r="B560" s="34" t="s">
        <v>308</v>
      </c>
      <c r="C560" s="36">
        <v>1.49</v>
      </c>
      <c r="D560" s="32"/>
      <c r="E560" s="32"/>
      <c r="F560" s="32"/>
      <c r="G560" s="32"/>
      <c r="H560" s="32"/>
      <c r="I560" s="32"/>
      <c r="J560" s="32"/>
    </row>
    <row r="563" ht="15.75" spans="1:3">
      <c r="A563" s="23" t="s">
        <v>302</v>
      </c>
      <c r="B563" s="39" t="s">
        <v>1038</v>
      </c>
      <c r="C563" s="39" t="s">
        <v>1039</v>
      </c>
    </row>
    <row r="564" ht="15.75" spans="1:3">
      <c r="A564" s="23" t="s">
        <v>307</v>
      </c>
      <c r="B564" s="39" t="s">
        <v>308</v>
      </c>
      <c r="C564" s="39">
        <v>0.768</v>
      </c>
    </row>
    <row r="565" ht="15.75" spans="1:3">
      <c r="A565" s="23" t="s">
        <v>310</v>
      </c>
      <c r="B565" s="39" t="s">
        <v>308</v>
      </c>
      <c r="C565" s="39">
        <v>0.467</v>
      </c>
    </row>
    <row r="566" ht="15.75" spans="1:3">
      <c r="A566" s="23" t="s">
        <v>311</v>
      </c>
      <c r="B566" s="39" t="s">
        <v>308</v>
      </c>
      <c r="C566" s="39">
        <v>0.3</v>
      </c>
    </row>
    <row r="567" ht="15.75" spans="1:3">
      <c r="A567" s="23" t="s">
        <v>312</v>
      </c>
      <c r="B567" s="39" t="s">
        <v>308</v>
      </c>
      <c r="C567" s="39">
        <v>0.34</v>
      </c>
    </row>
    <row r="568" ht="18" spans="1:3">
      <c r="A568" s="23" t="s">
        <v>313</v>
      </c>
      <c r="B568" s="39" t="s">
        <v>1040</v>
      </c>
      <c r="C568" s="39">
        <v>0.266</v>
      </c>
    </row>
    <row r="569" ht="15.75" spans="1:3">
      <c r="A569" s="23" t="s">
        <v>315</v>
      </c>
      <c r="B569" s="39" t="s">
        <v>308</v>
      </c>
      <c r="C569" s="39">
        <v>0.99</v>
      </c>
    </row>
    <row r="570" ht="15.75" spans="1:3">
      <c r="A570" s="23" t="s">
        <v>316</v>
      </c>
      <c r="B570" s="39" t="s">
        <v>308</v>
      </c>
      <c r="C570" s="39">
        <v>0.605</v>
      </c>
    </row>
    <row r="571" ht="15.75" spans="1:3">
      <c r="A571" s="23" t="s">
        <v>317</v>
      </c>
      <c r="B571" s="39" t="s">
        <v>308</v>
      </c>
      <c r="C571" s="39">
        <v>0.6</v>
      </c>
    </row>
    <row r="575" spans="1:1">
      <c r="A575" s="21" t="s">
        <v>1041</v>
      </c>
    </row>
    <row r="576" spans="1:2">
      <c r="A576" s="2">
        <v>2019</v>
      </c>
      <c r="B576" s="2">
        <f>Климатология2019!B3</f>
        <v>2318</v>
      </c>
    </row>
    <row r="577" spans="1:2">
      <c r="A577" s="2">
        <v>2020</v>
      </c>
      <c r="B577" s="2">
        <f>Климатология2020!$B$3</f>
        <v>1904</v>
      </c>
    </row>
    <row r="578" spans="1:2">
      <c r="A578" s="2">
        <v>2021</v>
      </c>
      <c r="B578" s="2">
        <f>Климатология2021!$B$3</f>
        <v>2502</v>
      </c>
    </row>
    <row r="579" spans="1:2">
      <c r="A579" s="2">
        <v>2022</v>
      </c>
      <c r="B579" s="2">
        <f>Климатология2022!$B$3</f>
        <v>2655</v>
      </c>
    </row>
    <row r="580" spans="1:2">
      <c r="A580" s="2">
        <v>2023</v>
      </c>
      <c r="B580" s="2">
        <f>Климатология2023!$B$3</f>
        <v>2398</v>
      </c>
    </row>
    <row r="581" spans="1:2">
      <c r="A581" s="2">
        <v>2024</v>
      </c>
      <c r="B581" s="2">
        <f>Климатология2024!$B$3</f>
        <v>2409</v>
      </c>
    </row>
    <row r="582" spans="1:2">
      <c r="A582" s="2">
        <v>2025</v>
      </c>
      <c r="B582" s="2">
        <f>Климатология2025!$B$3</f>
        <v>1851</v>
      </c>
    </row>
  </sheetData>
  <mergeCells count="1">
    <mergeCell ref="A552:C552"/>
  </mergeCells>
  <pageMargins left="0.7" right="0.7" top="0.75" bottom="0.75" header="0.3" footer="0.3"/>
  <pageSetup paperSize="9" orientation="portrait"/>
  <headerFooter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Лист22"/>
  <dimension ref="A1:G452"/>
  <sheetViews>
    <sheetView topLeftCell="A154" workbookViewId="0">
      <selection activeCell="E176" sqref="E176:E177"/>
    </sheetView>
  </sheetViews>
  <sheetFormatPr defaultColWidth="8.72380952380952" defaultRowHeight="15" outlineLevelCol="6"/>
  <cols>
    <col min="1" max="1" width="19.7238095238095" customWidth="1"/>
    <col min="2" max="2" width="17.2666666666667" customWidth="1"/>
    <col min="3" max="3" width="9.18095238095238"/>
    <col min="4" max="4" width="16.2666666666667" customWidth="1"/>
    <col min="5" max="5" width="15" customWidth="1"/>
    <col min="6" max="6" width="16.4571428571429" style="64" customWidth="1"/>
    <col min="7" max="7" width="17.1809523809524" style="64" customWidth="1"/>
  </cols>
  <sheetData>
    <row r="1" ht="15.75" spans="4:5">
      <c r="D1" s="65">
        <v>0.1</v>
      </c>
      <c r="E1" s="65">
        <v>0.4</v>
      </c>
    </row>
    <row r="2" ht="23.25" customHeight="1" spans="1:7">
      <c r="A2" s="66" t="s">
        <v>165</v>
      </c>
      <c r="B2" s="67" t="s">
        <v>166</v>
      </c>
      <c r="C2" s="68"/>
      <c r="D2" s="69"/>
      <c r="E2" s="70">
        <f>(1-E57)^(1/3)-1</f>
        <v>-0.0244450940109139</v>
      </c>
      <c r="F2" s="70">
        <f>(1-F57)^(1/3)-1</f>
        <v>-0.0255436444019813</v>
      </c>
      <c r="G2" s="70"/>
    </row>
    <row r="3" ht="47.25" customHeight="1" spans="1:7">
      <c r="A3" s="71"/>
      <c r="B3" s="72" t="s">
        <v>167</v>
      </c>
      <c r="C3" s="72"/>
      <c r="D3" s="72" t="s">
        <v>168</v>
      </c>
      <c r="E3" s="72" t="s">
        <v>169</v>
      </c>
      <c r="F3" s="73" t="s">
        <v>169</v>
      </c>
      <c r="G3" s="73"/>
    </row>
    <row r="4" ht="16.15" customHeight="1" spans="1:7">
      <c r="A4" s="74"/>
      <c r="B4" s="72" t="s">
        <v>170</v>
      </c>
      <c r="C4" s="72"/>
      <c r="D4" s="72" t="s">
        <v>171</v>
      </c>
      <c r="E4" s="72" t="s">
        <v>171</v>
      </c>
      <c r="F4" s="73" t="s">
        <v>171</v>
      </c>
      <c r="G4" s="73"/>
    </row>
    <row r="5" spans="1:7">
      <c r="A5" s="75">
        <v>1</v>
      </c>
      <c r="B5" s="76">
        <v>2</v>
      </c>
      <c r="C5" s="76"/>
      <c r="D5" s="76">
        <v>3</v>
      </c>
      <c r="E5" s="76">
        <v>4</v>
      </c>
      <c r="F5" s="77">
        <v>5</v>
      </c>
      <c r="G5" s="77"/>
    </row>
    <row r="6" spans="1:7">
      <c r="A6" s="530" t="s">
        <v>172</v>
      </c>
      <c r="B6" s="79">
        <v>39.18</v>
      </c>
      <c r="C6" s="79">
        <v>0</v>
      </c>
      <c r="D6" s="80">
        <v>0</v>
      </c>
      <c r="E6" s="80">
        <v>0</v>
      </c>
      <c r="F6" s="81">
        <v>0</v>
      </c>
      <c r="G6" s="81">
        <v>0.308116385911179</v>
      </c>
    </row>
    <row r="7" spans="1:7">
      <c r="A7" s="530" t="s">
        <v>173</v>
      </c>
      <c r="B7" s="79">
        <v>44.08</v>
      </c>
      <c r="C7" s="79">
        <f>B6</f>
        <v>39.18</v>
      </c>
      <c r="D7" s="80">
        <v>0</v>
      </c>
      <c r="E7" s="80">
        <v>0</v>
      </c>
      <c r="F7" s="81">
        <v>0</v>
      </c>
      <c r="G7" s="81">
        <v>0.318330308529946</v>
      </c>
    </row>
    <row r="8" spans="1:7">
      <c r="A8" s="530" t="s">
        <v>174</v>
      </c>
      <c r="B8" s="79">
        <v>46.97</v>
      </c>
      <c r="C8" s="79">
        <f t="shared" ref="C8:C56" si="0">B7</f>
        <v>44.08</v>
      </c>
      <c r="D8" s="80">
        <v>0</v>
      </c>
      <c r="E8" s="80">
        <v>0</v>
      </c>
      <c r="F8" s="81">
        <v>0</v>
      </c>
      <c r="G8" s="81">
        <v>0.323355333191399</v>
      </c>
    </row>
    <row r="9" spans="1:7">
      <c r="A9" s="530" t="s">
        <v>175</v>
      </c>
      <c r="B9" s="79">
        <v>51.78</v>
      </c>
      <c r="C9" s="79">
        <f t="shared" si="0"/>
        <v>46.97</v>
      </c>
      <c r="D9" s="80">
        <v>0</v>
      </c>
      <c r="E9" s="80">
        <v>0</v>
      </c>
      <c r="F9" s="81">
        <v>0</v>
      </c>
      <c r="G9" s="81">
        <v>0.330475086906141</v>
      </c>
    </row>
    <row r="10" spans="1:7">
      <c r="A10" s="530" t="s">
        <v>176</v>
      </c>
      <c r="B10" s="79">
        <v>53.78</v>
      </c>
      <c r="C10" s="79">
        <f t="shared" si="0"/>
        <v>51.78</v>
      </c>
      <c r="D10" s="80">
        <v>0</v>
      </c>
      <c r="E10" s="80">
        <v>0</v>
      </c>
      <c r="F10" s="81">
        <v>0</v>
      </c>
      <c r="G10" s="81">
        <v>0.333060617329862</v>
      </c>
    </row>
    <row r="11" spans="1:7">
      <c r="A11" s="530" t="s">
        <v>177</v>
      </c>
      <c r="B11" s="79">
        <v>55.19</v>
      </c>
      <c r="C11" s="79">
        <f t="shared" si="0"/>
        <v>53.78</v>
      </c>
      <c r="D11" s="80">
        <v>0</v>
      </c>
      <c r="E11" s="80">
        <v>0</v>
      </c>
      <c r="F11" s="81">
        <v>0</v>
      </c>
      <c r="G11" s="81">
        <v>0.334770791810111</v>
      </c>
    </row>
    <row r="12" spans="1:7">
      <c r="A12" s="530" t="s">
        <v>178</v>
      </c>
      <c r="B12" s="79">
        <v>57.79</v>
      </c>
      <c r="C12" s="79">
        <f t="shared" si="0"/>
        <v>55.19</v>
      </c>
      <c r="D12" s="80">
        <v>0</v>
      </c>
      <c r="E12" s="80">
        <v>0</v>
      </c>
      <c r="F12" s="81">
        <v>0</v>
      </c>
      <c r="G12" s="81">
        <v>0.337705485378093</v>
      </c>
    </row>
    <row r="13" spans="1:7">
      <c r="A13" s="78" t="s">
        <v>179</v>
      </c>
      <c r="B13" s="79">
        <v>59.23</v>
      </c>
      <c r="C13" s="79">
        <f t="shared" si="0"/>
        <v>57.79</v>
      </c>
      <c r="D13" s="80">
        <v>0.000216950869491816</v>
      </c>
      <c r="E13" s="80">
        <v>2.16950869491816e-5</v>
      </c>
      <c r="F13" s="81">
        <v>0.00195002532500421</v>
      </c>
      <c r="G13" s="81">
        <v>0.339219989869998</v>
      </c>
    </row>
    <row r="14" spans="1:7">
      <c r="A14" s="78" t="s">
        <v>180</v>
      </c>
      <c r="B14" s="79">
        <v>61.33</v>
      </c>
      <c r="C14" s="79">
        <f t="shared" si="0"/>
        <v>59.23</v>
      </c>
      <c r="D14" s="80">
        <v>0.0344505136148704</v>
      </c>
      <c r="E14" s="80"/>
      <c r="F14" s="81">
        <v>0.00530735366052502</v>
      </c>
      <c r="G14" s="81">
        <v>0.341301157671613</v>
      </c>
    </row>
    <row r="15" spans="1:7">
      <c r="A15" s="78" t="s">
        <v>181</v>
      </c>
      <c r="B15" s="79">
        <v>63.65</v>
      </c>
      <c r="C15" s="79">
        <f t="shared" si="0"/>
        <v>61.33</v>
      </c>
      <c r="D15" s="80">
        <v>0.0696441476826395</v>
      </c>
      <c r="E15" s="80"/>
      <c r="F15" s="81">
        <v>0.00875883739198742</v>
      </c>
      <c r="G15" s="81">
        <v>0.34344069128044</v>
      </c>
    </row>
    <row r="16" spans="1:7">
      <c r="A16" s="78" t="s">
        <v>182</v>
      </c>
      <c r="B16" s="79">
        <v>64.66</v>
      </c>
      <c r="C16" s="79">
        <f t="shared" si="0"/>
        <v>63.65</v>
      </c>
      <c r="D16" s="80">
        <v>0.0841764614908753</v>
      </c>
      <c r="E16" s="80"/>
      <c r="F16" s="81">
        <v>0.0101840395917105</v>
      </c>
      <c r="G16" s="81">
        <v>0.344324157129601</v>
      </c>
    </row>
    <row r="17" spans="1:7">
      <c r="A17" s="78" t="s">
        <v>183</v>
      </c>
      <c r="B17" s="79">
        <v>66.76</v>
      </c>
      <c r="C17" s="79">
        <f t="shared" si="0"/>
        <v>64.66</v>
      </c>
      <c r="D17" s="80">
        <v>0.11298457159976</v>
      </c>
      <c r="E17" s="80">
        <v>0.011298457159976</v>
      </c>
      <c r="F17" s="81">
        <v>0.0130092869982025</v>
      </c>
      <c r="G17" s="81">
        <v>0.346075494307969</v>
      </c>
    </row>
    <row r="18" spans="1:7">
      <c r="A18" s="78" t="s">
        <v>184</v>
      </c>
      <c r="B18" s="79">
        <v>67.99</v>
      </c>
      <c r="C18" s="79">
        <f t="shared" si="0"/>
        <v>66.76</v>
      </c>
      <c r="D18" s="80">
        <v>0.129031475216944</v>
      </c>
      <c r="E18" s="80">
        <v>0.0129031475216944</v>
      </c>
      <c r="F18" s="81">
        <v>0.0145830269157229</v>
      </c>
      <c r="G18" s="81">
        <v>0.347051036917194</v>
      </c>
    </row>
    <row r="19" spans="1:7">
      <c r="A19" s="78" t="s">
        <v>185</v>
      </c>
      <c r="B19" s="79">
        <v>71.23</v>
      </c>
      <c r="C19" s="79">
        <f t="shared" si="0"/>
        <v>67.99</v>
      </c>
      <c r="D19" s="80">
        <v>0.168648743506949</v>
      </c>
      <c r="E19" s="80">
        <v>0.0168648743506949</v>
      </c>
      <c r="F19" s="81">
        <v>0.0184683419907342</v>
      </c>
      <c r="G19" s="81">
        <v>0.34945949740278</v>
      </c>
    </row>
    <row r="20" spans="1:7">
      <c r="A20" s="78" t="s">
        <v>186</v>
      </c>
      <c r="B20" s="79">
        <v>72.44</v>
      </c>
      <c r="C20" s="79">
        <f t="shared" si="0"/>
        <v>71.23</v>
      </c>
      <c r="D20" s="80">
        <v>0.182535201546107</v>
      </c>
      <c r="E20" s="80">
        <v>0.0182535201546107</v>
      </c>
      <c r="F20" s="81">
        <v>0.0198302043070127</v>
      </c>
      <c r="G20" s="81">
        <v>0.350303699613473</v>
      </c>
    </row>
    <row r="21" spans="1:7">
      <c r="A21" s="78" t="s">
        <v>187</v>
      </c>
      <c r="B21" s="79">
        <v>73.43</v>
      </c>
      <c r="C21" s="79">
        <f t="shared" si="0"/>
        <v>72.44</v>
      </c>
      <c r="D21" s="80">
        <v>0.193556448318126</v>
      </c>
      <c r="E21" s="80">
        <v>0.0193556448318126</v>
      </c>
      <c r="F21" s="81">
        <v>0.0209110717690317</v>
      </c>
      <c r="G21" s="81">
        <v>0.35097371646466</v>
      </c>
    </row>
    <row r="22" spans="1:7">
      <c r="A22" s="78" t="s">
        <v>188</v>
      </c>
      <c r="B22" s="79">
        <v>74.92</v>
      </c>
      <c r="C22" s="79">
        <f t="shared" si="0"/>
        <v>73.43</v>
      </c>
      <c r="D22" s="80">
        <v>0.209594901227977</v>
      </c>
      <c r="E22" s="80">
        <v>0.0209594901227977</v>
      </c>
      <c r="F22" s="81">
        <v>0.0224839829151094</v>
      </c>
      <c r="G22" s="81">
        <v>0.35194874532835</v>
      </c>
    </row>
    <row r="23" spans="1:7">
      <c r="A23" s="78" t="s">
        <v>189</v>
      </c>
      <c r="B23" s="79">
        <v>78.09</v>
      </c>
      <c r="C23" s="79">
        <f t="shared" si="0"/>
        <v>74.92</v>
      </c>
      <c r="D23" s="80">
        <v>0.241680752977334</v>
      </c>
      <c r="E23" s="80">
        <v>0.0241680752977334</v>
      </c>
      <c r="F23" s="81">
        <v>0.0256306825457805</v>
      </c>
      <c r="G23" s="81">
        <v>0.353899346907415</v>
      </c>
    </row>
    <row r="24" spans="1:7">
      <c r="A24" s="78" t="s">
        <v>190</v>
      </c>
      <c r="B24" s="79">
        <v>80.76</v>
      </c>
      <c r="C24" s="79">
        <f t="shared" si="0"/>
        <v>78.09</v>
      </c>
      <c r="D24" s="80">
        <v>0.266751485884101</v>
      </c>
      <c r="E24" s="80">
        <v>0.0266751485884101</v>
      </c>
      <c r="F24" s="81">
        <v>0.0280894006934126</v>
      </c>
      <c r="G24" s="81">
        <v>0.355423476968796</v>
      </c>
    </row>
    <row r="25" spans="1:7">
      <c r="A25" s="78" t="s">
        <v>191</v>
      </c>
      <c r="B25" s="79">
        <v>82.78</v>
      </c>
      <c r="C25" s="79">
        <f t="shared" si="0"/>
        <v>80.76</v>
      </c>
      <c r="D25" s="80">
        <v>0.284644237738584</v>
      </c>
      <c r="E25" s="80">
        <v>0.0284644237738584</v>
      </c>
      <c r="F25" s="81">
        <v>0.0298441652573085</v>
      </c>
      <c r="G25" s="81">
        <v>0.356511234597729</v>
      </c>
    </row>
    <row r="26" spans="1:7">
      <c r="A26" s="78" t="s">
        <v>192</v>
      </c>
      <c r="B26" s="79">
        <v>85.1</v>
      </c>
      <c r="C26" s="79">
        <f t="shared" si="0"/>
        <v>82.78</v>
      </c>
      <c r="D26" s="80">
        <v>0.304146298472385</v>
      </c>
      <c r="E26" s="80">
        <v>0.0304146298472385</v>
      </c>
      <c r="F26" s="81">
        <v>0.0317567567567568</v>
      </c>
      <c r="G26" s="81">
        <v>0.357696827262045</v>
      </c>
    </row>
    <row r="27" spans="1:7">
      <c r="A27" s="78" t="s">
        <v>193</v>
      </c>
      <c r="B27" s="79">
        <v>87.24</v>
      </c>
      <c r="C27" s="79">
        <f t="shared" si="0"/>
        <v>85.1</v>
      </c>
      <c r="D27" s="80">
        <v>0.321215612104539</v>
      </c>
      <c r="E27" s="80">
        <v>0.0321215612104539</v>
      </c>
      <c r="F27" s="81">
        <v>0.0334307657038056</v>
      </c>
      <c r="G27" s="81">
        <v>0.358734525447043</v>
      </c>
    </row>
    <row r="28" spans="1:7">
      <c r="A28" s="78" t="s">
        <v>194</v>
      </c>
      <c r="B28" s="79">
        <v>89.58</v>
      </c>
      <c r="C28" s="79">
        <f t="shared" si="0"/>
        <v>87.24</v>
      </c>
      <c r="D28" s="80">
        <v>0.338946751507033</v>
      </c>
      <c r="E28" s="80">
        <v>0.0338946751507033</v>
      </c>
      <c r="F28" s="81">
        <v>0.0351696807323063</v>
      </c>
      <c r="G28" s="81">
        <v>0.359812458137977</v>
      </c>
    </row>
    <row r="29" spans="1:7">
      <c r="A29" s="78" t="s">
        <v>195</v>
      </c>
      <c r="B29" s="79">
        <v>93.51</v>
      </c>
      <c r="C29" s="79">
        <f t="shared" si="0"/>
        <v>89.58</v>
      </c>
      <c r="D29" s="80">
        <v>0.366729226820661</v>
      </c>
      <c r="E29" s="80">
        <v>0.0366729226820661</v>
      </c>
      <c r="F29" s="81">
        <v>0.037894342851032</v>
      </c>
      <c r="G29" s="81">
        <v>0.361501443695861</v>
      </c>
    </row>
    <row r="30" spans="1:7">
      <c r="A30" s="78" t="s">
        <v>196</v>
      </c>
      <c r="B30" s="79">
        <v>96.77</v>
      </c>
      <c r="C30" s="79">
        <f t="shared" si="0"/>
        <v>93.51</v>
      </c>
      <c r="D30" s="80">
        <v>0.388062932727085</v>
      </c>
      <c r="E30" s="80">
        <v>0.0388062932727085</v>
      </c>
      <c r="F30" s="81">
        <v>0.0399865660845303</v>
      </c>
      <c r="G30" s="81">
        <v>0.362798387930144</v>
      </c>
    </row>
    <row r="31" spans="1:7">
      <c r="A31" s="78" t="s">
        <v>197</v>
      </c>
      <c r="B31" s="79">
        <v>98.05</v>
      </c>
      <c r="C31" s="79">
        <f t="shared" si="0"/>
        <v>96.77</v>
      </c>
      <c r="D31" s="80">
        <v>0.396051504334523</v>
      </c>
      <c r="E31" s="80">
        <v>0.0396051504334523</v>
      </c>
      <c r="F31" s="81">
        <v>0.0446200917899031</v>
      </c>
      <c r="G31" s="81">
        <v>0.363284038755737</v>
      </c>
    </row>
    <row r="32" spans="1:7">
      <c r="A32" s="78" t="s">
        <v>198</v>
      </c>
      <c r="B32" s="79">
        <v>100.91</v>
      </c>
      <c r="C32" s="79">
        <f t="shared" si="0"/>
        <v>98.05</v>
      </c>
      <c r="D32" s="80">
        <v>0.413168665147161</v>
      </c>
      <c r="E32" s="80">
        <v>0.0479011990882965</v>
      </c>
      <c r="F32" s="81">
        <v>0.0546923000693687</v>
      </c>
      <c r="G32" s="81">
        <v>0.364324645723912</v>
      </c>
    </row>
    <row r="33" spans="1:7">
      <c r="A33" s="78" t="s">
        <v>199</v>
      </c>
      <c r="B33" s="79">
        <v>102.47</v>
      </c>
      <c r="C33" s="79">
        <f t="shared" si="0"/>
        <v>100.91</v>
      </c>
      <c r="D33" s="80">
        <v>0.42210256660486</v>
      </c>
      <c r="E33" s="80">
        <v>0.053261539962916</v>
      </c>
      <c r="F33" s="81">
        <v>0.0599492534400312</v>
      </c>
      <c r="G33" s="81">
        <v>0.364867766175466</v>
      </c>
    </row>
    <row r="34" spans="1:7">
      <c r="A34" s="78" t="s">
        <v>200</v>
      </c>
      <c r="B34" s="79">
        <v>105.07</v>
      </c>
      <c r="C34" s="79">
        <f t="shared" si="0"/>
        <v>102.47</v>
      </c>
      <c r="D34" s="80">
        <v>0.436402874274293</v>
      </c>
      <c r="E34" s="80">
        <v>0.061841724564576</v>
      </c>
      <c r="F34" s="81">
        <v>0.0683639478442943</v>
      </c>
      <c r="G34" s="81">
        <v>0.3657371276292</v>
      </c>
    </row>
    <row r="35" spans="1:7">
      <c r="A35" s="78" t="s">
        <v>201</v>
      </c>
      <c r="B35" s="79">
        <v>108.58</v>
      </c>
      <c r="C35" s="79">
        <f t="shared" si="0"/>
        <v>105.07</v>
      </c>
      <c r="D35" s="80">
        <v>0.454621937741757</v>
      </c>
      <c r="E35" s="80">
        <v>0.0727731626450543</v>
      </c>
      <c r="F35" s="81">
        <v>0.0790845459568981</v>
      </c>
      <c r="G35" s="81">
        <v>0.366844722785043</v>
      </c>
    </row>
    <row r="36" spans="1:7">
      <c r="A36" s="78" t="s">
        <v>202</v>
      </c>
      <c r="B36" s="79">
        <v>110.13</v>
      </c>
      <c r="C36" s="79">
        <f t="shared" si="0"/>
        <v>108.58</v>
      </c>
      <c r="D36" s="80">
        <v>0.462297739035685</v>
      </c>
      <c r="E36" s="80">
        <v>0.0773786434214111</v>
      </c>
      <c r="F36" s="81">
        <v>0.0836011985834922</v>
      </c>
      <c r="G36" s="81">
        <v>0.367311359302642</v>
      </c>
    </row>
    <row r="37" spans="1:7">
      <c r="A37" s="78" t="s">
        <v>203</v>
      </c>
      <c r="B37" s="79">
        <v>111.25</v>
      </c>
      <c r="C37" s="79">
        <f t="shared" si="0"/>
        <v>110.13</v>
      </c>
      <c r="D37" s="80">
        <v>0.467711011235955</v>
      </c>
      <c r="E37" s="80">
        <v>0.080626606741573</v>
      </c>
      <c r="F37" s="81">
        <v>0.0867865168539326</v>
      </c>
      <c r="G37" s="81">
        <v>0.367640449438202</v>
      </c>
    </row>
    <row r="38" spans="1:7">
      <c r="A38" s="78" t="s">
        <v>204</v>
      </c>
      <c r="B38" s="79">
        <v>113.85</v>
      </c>
      <c r="C38" s="79">
        <f t="shared" si="0"/>
        <v>111.25</v>
      </c>
      <c r="D38" s="80">
        <v>0.479866930171278</v>
      </c>
      <c r="E38" s="80">
        <v>0.0879201581027668</v>
      </c>
      <c r="F38" s="81">
        <v>0.0939393939393939</v>
      </c>
      <c r="G38" s="81">
        <v>0.368379446640316</v>
      </c>
    </row>
    <row r="39" spans="1:7">
      <c r="A39" s="78" t="s">
        <v>205</v>
      </c>
      <c r="B39" s="79">
        <v>114.8</v>
      </c>
      <c r="C39" s="79">
        <f t="shared" si="0"/>
        <v>113.85</v>
      </c>
      <c r="D39" s="80">
        <v>0.484171167247387</v>
      </c>
      <c r="E39" s="80">
        <v>0.0905027003484321</v>
      </c>
      <c r="F39" s="81">
        <v>0.0964721254355401</v>
      </c>
      <c r="G39" s="81">
        <v>0.368641114982578</v>
      </c>
    </row>
    <row r="40" spans="1:7">
      <c r="A40" s="78" t="s">
        <v>206</v>
      </c>
      <c r="B40" s="79">
        <v>116.41</v>
      </c>
      <c r="C40" s="79">
        <f t="shared" si="0"/>
        <v>114.8</v>
      </c>
      <c r="D40" s="80">
        <v>0.491305300231939</v>
      </c>
      <c r="E40" s="80">
        <v>0.0947831801391633</v>
      </c>
      <c r="F40" s="81">
        <v>0.100670045528735</v>
      </c>
      <c r="G40" s="81">
        <v>0.369074821750709</v>
      </c>
    </row>
    <row r="41" spans="1:7">
      <c r="A41" s="78" t="s">
        <v>207</v>
      </c>
      <c r="B41" s="79">
        <v>118.28</v>
      </c>
      <c r="C41" s="79">
        <f t="shared" si="0"/>
        <v>116.41</v>
      </c>
      <c r="D41" s="80">
        <v>0.499347734190058</v>
      </c>
      <c r="E41" s="80">
        <v>0.0996086405140345</v>
      </c>
      <c r="F41" s="81">
        <v>0.105402434900237</v>
      </c>
      <c r="G41" s="81">
        <v>0.36956374704092</v>
      </c>
    </row>
    <row r="42" spans="1:7">
      <c r="A42" s="78" t="s">
        <v>208</v>
      </c>
      <c r="B42" s="79">
        <v>121.12</v>
      </c>
      <c r="C42" s="79">
        <f t="shared" si="0"/>
        <v>118.28</v>
      </c>
      <c r="D42" s="80">
        <v>0.511086938573316</v>
      </c>
      <c r="E42" s="80">
        <v>0.106652163143989</v>
      </c>
      <c r="F42" s="81">
        <v>0.112310105680317</v>
      </c>
      <c r="G42" s="81">
        <v>0.370277410832233</v>
      </c>
    </row>
    <row r="43" spans="1:7">
      <c r="A43" s="78" t="s">
        <v>209</v>
      </c>
      <c r="B43" s="79">
        <v>127.43</v>
      </c>
      <c r="C43" s="79">
        <f t="shared" si="0"/>
        <v>121.12</v>
      </c>
      <c r="D43" s="80">
        <v>0.535296633445813</v>
      </c>
      <c r="E43" s="80">
        <v>0.121177980067488</v>
      </c>
      <c r="F43" s="81">
        <v>0.126555756101389</v>
      </c>
      <c r="G43" s="81">
        <v>0.37174919563682</v>
      </c>
    </row>
    <row r="44" spans="1:7">
      <c r="A44" s="78" t="s">
        <v>210</v>
      </c>
      <c r="B44" s="79">
        <v>133.4</v>
      </c>
      <c r="C44" s="79">
        <f t="shared" si="0"/>
        <v>127.43</v>
      </c>
      <c r="D44" s="80">
        <v>0.556093328335832</v>
      </c>
      <c r="E44" s="80">
        <v>0.133655997001499</v>
      </c>
      <c r="F44" s="81">
        <v>0.138793103448276</v>
      </c>
      <c r="G44" s="81">
        <v>0.373013493253373</v>
      </c>
    </row>
    <row r="45" spans="1:7">
      <c r="A45" s="78" t="s">
        <v>211</v>
      </c>
      <c r="B45" s="79">
        <v>136.74</v>
      </c>
      <c r="C45" s="79">
        <f t="shared" si="0"/>
        <v>133.4</v>
      </c>
      <c r="D45" s="80">
        <v>0.566936156208864</v>
      </c>
      <c r="E45" s="80">
        <v>0.140161693725318</v>
      </c>
      <c r="F45" s="81">
        <v>0.145173321632295</v>
      </c>
      <c r="G45" s="81">
        <v>0.373672663448881</v>
      </c>
    </row>
    <row r="46" spans="1:7">
      <c r="A46" s="78" t="s">
        <v>212</v>
      </c>
      <c r="B46" s="79">
        <v>141.26</v>
      </c>
      <c r="C46" s="79">
        <f t="shared" si="0"/>
        <v>136.74</v>
      </c>
      <c r="D46" s="80">
        <v>0.580793218179244</v>
      </c>
      <c r="E46" s="80">
        <v>0.148475930907546</v>
      </c>
      <c r="F46" s="81">
        <v>0.153327198074473</v>
      </c>
      <c r="G46" s="81">
        <v>0.374515078578508</v>
      </c>
    </row>
    <row r="47" spans="1:7">
      <c r="A47" s="78" t="s">
        <v>213</v>
      </c>
      <c r="B47" s="79">
        <v>144.9</v>
      </c>
      <c r="C47" s="79">
        <f t="shared" si="0"/>
        <v>141.26</v>
      </c>
      <c r="D47" s="80">
        <v>0.591324016563147</v>
      </c>
      <c r="E47" s="80">
        <v>0.154794409937888</v>
      </c>
      <c r="F47" s="81">
        <v>0.15952380952381</v>
      </c>
      <c r="G47" s="81">
        <v>0.375155279503106</v>
      </c>
    </row>
    <row r="48" spans="1:7">
      <c r="A48" s="78" t="s">
        <v>214</v>
      </c>
      <c r="B48" s="79">
        <v>147.02</v>
      </c>
      <c r="C48" s="79">
        <f t="shared" si="0"/>
        <v>144.9</v>
      </c>
      <c r="D48" s="80">
        <v>0.597217045299959</v>
      </c>
      <c r="E48" s="80">
        <v>0.158330227179976</v>
      </c>
      <c r="F48" s="81">
        <v>0.162991429737451</v>
      </c>
      <c r="G48" s="81">
        <v>0.375513535573391</v>
      </c>
    </row>
    <row r="49" spans="1:7">
      <c r="A49" s="78" t="s">
        <v>215</v>
      </c>
      <c r="B49" s="79">
        <v>151.16</v>
      </c>
      <c r="C49" s="79">
        <f t="shared" si="0"/>
        <v>147.02</v>
      </c>
      <c r="D49" s="80">
        <v>0.608248544588515</v>
      </c>
      <c r="E49" s="80">
        <v>0.164949126753109</v>
      </c>
      <c r="F49" s="81">
        <v>0.169482667372321</v>
      </c>
      <c r="G49" s="81">
        <v>0.376184175707859</v>
      </c>
    </row>
    <row r="50" spans="1:7">
      <c r="A50" s="78" t="s">
        <v>216</v>
      </c>
      <c r="B50" s="79">
        <v>162.53</v>
      </c>
      <c r="C50" s="79">
        <f t="shared" si="0"/>
        <v>151.16</v>
      </c>
      <c r="D50" s="80">
        <v>0.635654033101581</v>
      </c>
      <c r="E50" s="80">
        <v>0.181392419860949</v>
      </c>
      <c r="F50" s="81">
        <v>0.185608810681105</v>
      </c>
      <c r="G50" s="81">
        <v>0.377850243032056</v>
      </c>
    </row>
    <row r="51" spans="1:7">
      <c r="A51" s="78" t="s">
        <v>217</v>
      </c>
      <c r="B51" s="79">
        <v>169</v>
      </c>
      <c r="C51" s="79">
        <f t="shared" si="0"/>
        <v>162.53</v>
      </c>
      <c r="D51" s="80">
        <v>0.649602662721893</v>
      </c>
      <c r="E51" s="80">
        <v>0.189761597633136</v>
      </c>
      <c r="F51" s="81">
        <v>0.193816568047337</v>
      </c>
      <c r="G51" s="81">
        <v>0.378698224852071</v>
      </c>
    </row>
    <row r="52" spans="1:7">
      <c r="A52" s="78" t="s">
        <v>218</v>
      </c>
      <c r="B52" s="79">
        <v>177.92</v>
      </c>
      <c r="C52" s="79">
        <f t="shared" si="0"/>
        <v>169</v>
      </c>
      <c r="D52" s="80">
        <v>0.667169795413669</v>
      </c>
      <c r="E52" s="80">
        <v>0.200301877248201</v>
      </c>
      <c r="F52" s="81">
        <v>0.204153552158273</v>
      </c>
      <c r="G52" s="81">
        <v>0.37976618705036</v>
      </c>
    </row>
    <row r="53" spans="1:7">
      <c r="A53" s="78" t="s">
        <v>219</v>
      </c>
      <c r="B53" s="79">
        <v>198.46</v>
      </c>
      <c r="C53" s="79">
        <f t="shared" si="0"/>
        <v>177.92</v>
      </c>
      <c r="D53" s="80">
        <v>0.701616698579059</v>
      </c>
      <c r="E53" s="80">
        <v>0.220970019147435</v>
      </c>
      <c r="F53" s="81">
        <v>0.224423057543082</v>
      </c>
      <c r="G53" s="81">
        <v>0.38186032449864</v>
      </c>
    </row>
    <row r="54" spans="1:7">
      <c r="A54" s="78" t="s">
        <v>220</v>
      </c>
      <c r="B54" s="79">
        <v>211.65</v>
      </c>
      <c r="C54" s="79">
        <f t="shared" si="0"/>
        <v>198.46</v>
      </c>
      <c r="D54" s="80">
        <v>0.720211906449327</v>
      </c>
      <c r="E54" s="80">
        <v>0.232127143869596</v>
      </c>
      <c r="F54" s="81">
        <v>0.235364989369242</v>
      </c>
      <c r="G54" s="81">
        <v>0.382990786676116</v>
      </c>
    </row>
    <row r="55" spans="1:7">
      <c r="A55" s="78" t="s">
        <v>221</v>
      </c>
      <c r="B55" s="79">
        <v>235.62</v>
      </c>
      <c r="C55" s="79">
        <f t="shared" si="0"/>
        <v>211.65</v>
      </c>
      <c r="D55" s="80">
        <v>0.748675197351668</v>
      </c>
      <c r="E55" s="80">
        <v>0.249205118411001</v>
      </c>
      <c r="F55" s="81">
        <v>0.252113572701808</v>
      </c>
      <c r="G55" s="81">
        <v>0.384721161191749</v>
      </c>
    </row>
    <row r="56" spans="1:7">
      <c r="A56" s="78" t="s">
        <v>221</v>
      </c>
      <c r="B56" s="82" t="s">
        <v>222</v>
      </c>
      <c r="C56" s="79">
        <f t="shared" si="0"/>
        <v>235.62</v>
      </c>
      <c r="D56" s="83"/>
      <c r="E56" s="83"/>
      <c r="F56" s="84"/>
      <c r="G56" s="84"/>
    </row>
    <row r="57" spans="1:7">
      <c r="A57" s="78"/>
      <c r="B57" s="82"/>
      <c r="C57" s="82"/>
      <c r="D57" s="83"/>
      <c r="E57" s="85">
        <v>0.0715572016435871</v>
      </c>
      <c r="F57" s="86">
        <v>0.0746901665580595</v>
      </c>
      <c r="G57" s="86">
        <v>0.358558537920994</v>
      </c>
    </row>
    <row r="58" ht="25.5" customHeight="1" spans="1:7">
      <c r="A58" s="87" t="s">
        <v>223</v>
      </c>
      <c r="B58" s="132">
        <v>10</v>
      </c>
      <c r="C58" s="82"/>
      <c r="D58" s="83"/>
      <c r="E58" s="89">
        <v>98.69525</v>
      </c>
      <c r="F58" s="90">
        <v>96.7916666666667</v>
      </c>
      <c r="G58" s="91">
        <v>10</v>
      </c>
    </row>
    <row r="59" ht="24" spans="1:7">
      <c r="A59" s="87" t="s">
        <v>224</v>
      </c>
      <c r="B59" s="88">
        <v>104.7</v>
      </c>
      <c r="C59" s="82"/>
      <c r="D59" s="83"/>
      <c r="E59" s="83"/>
      <c r="F59" s="84"/>
      <c r="G59" s="84"/>
    </row>
    <row r="60" ht="36" spans="1:7">
      <c r="A60" s="92" t="s">
        <v>225</v>
      </c>
      <c r="B60" s="93">
        <v>62.8</v>
      </c>
      <c r="C60" s="78"/>
      <c r="D60" s="83"/>
      <c r="E60" s="93">
        <v>59.21715</v>
      </c>
      <c r="F60" s="94">
        <v>58.075</v>
      </c>
      <c r="G60" s="94">
        <v>6</v>
      </c>
    </row>
    <row r="62" ht="26.25" customHeight="1" spans="1:2">
      <c r="A62" s="87" t="s">
        <v>224</v>
      </c>
      <c r="B62">
        <f>B59</f>
        <v>104.7</v>
      </c>
    </row>
    <row r="63" spans="1:3">
      <c r="A63" s="531" t="s">
        <v>226</v>
      </c>
      <c r="B63" s="133">
        <f>AVERAGE(B11:B50)</f>
        <v>98.69525</v>
      </c>
      <c r="C63" s="95"/>
    </row>
    <row r="64" spans="1:3">
      <c r="A64" s="531" t="s">
        <v>227</v>
      </c>
      <c r="B64" s="133">
        <f>AVERAGE(B16:B45)</f>
        <v>96.7916666666667</v>
      </c>
      <c r="C64" s="96"/>
    </row>
    <row r="65" spans="1:3">
      <c r="A65" s="531" t="s">
        <v>228</v>
      </c>
      <c r="B65" s="133">
        <f>AVERAGE(B22:B40)</f>
        <v>97.3826315789473</v>
      </c>
      <c r="C65" s="96"/>
    </row>
    <row r="69" ht="18" customHeight="1" spans="1:7">
      <c r="A69" s="97" t="s">
        <v>165</v>
      </c>
      <c r="B69" s="83" t="s">
        <v>229</v>
      </c>
      <c r="C69" s="83"/>
      <c r="D69" s="83"/>
      <c r="E69" s="98">
        <f>(1-E124)^(1/3)-1</f>
        <v>-0.0243403003152107</v>
      </c>
      <c r="F69" s="98">
        <f>(1-F124)^(1/3)-1</f>
        <v>-0.0249496088987171</v>
      </c>
      <c r="G69" s="98"/>
    </row>
    <row r="70" ht="48" spans="1:7">
      <c r="A70" s="99"/>
      <c r="B70" s="93" t="s">
        <v>167</v>
      </c>
      <c r="C70" s="83"/>
      <c r="D70" s="93" t="s">
        <v>168</v>
      </c>
      <c r="E70" s="83" t="s">
        <v>169</v>
      </c>
      <c r="F70" s="84" t="s">
        <v>169</v>
      </c>
      <c r="G70" s="84"/>
    </row>
    <row r="71" spans="1:7">
      <c r="A71" s="100"/>
      <c r="B71" s="83" t="s">
        <v>230</v>
      </c>
      <c r="C71" s="83"/>
      <c r="D71" s="83" t="s">
        <v>171</v>
      </c>
      <c r="E71" s="83" t="s">
        <v>171</v>
      </c>
      <c r="F71" s="84" t="s">
        <v>171</v>
      </c>
      <c r="G71" s="84"/>
    </row>
    <row r="72" spans="1:7">
      <c r="A72" s="75">
        <v>1</v>
      </c>
      <c r="B72" s="76">
        <v>2</v>
      </c>
      <c r="C72" s="76"/>
      <c r="D72" s="76">
        <v>3</v>
      </c>
      <c r="E72" s="76">
        <v>4</v>
      </c>
      <c r="F72" s="77">
        <v>5</v>
      </c>
      <c r="G72" s="77"/>
    </row>
    <row r="73" spans="1:7">
      <c r="A73" s="530" t="s">
        <v>172</v>
      </c>
      <c r="B73" s="101">
        <v>27.55</v>
      </c>
      <c r="C73" s="102">
        <v>0</v>
      </c>
      <c r="D73" s="80">
        <v>0</v>
      </c>
      <c r="E73" s="80">
        <v>0</v>
      </c>
      <c r="F73" s="81">
        <v>0</v>
      </c>
      <c r="G73" s="81">
        <v>0.0641742286751361</v>
      </c>
    </row>
    <row r="74" spans="1:7">
      <c r="A74" s="530" t="s">
        <v>173</v>
      </c>
      <c r="B74" s="101">
        <v>31.01</v>
      </c>
      <c r="C74" s="79">
        <f>B73</f>
        <v>27.55</v>
      </c>
      <c r="D74" s="80">
        <v>0</v>
      </c>
      <c r="E74" s="80">
        <v>0</v>
      </c>
      <c r="F74" s="81">
        <v>0</v>
      </c>
      <c r="G74" s="81">
        <v>0.10164463076427</v>
      </c>
    </row>
    <row r="75" spans="1:7">
      <c r="A75" s="530" t="s">
        <v>174</v>
      </c>
      <c r="B75" s="101">
        <v>34.45</v>
      </c>
      <c r="C75" s="79">
        <f t="shared" ref="C75:C123" si="1">B74</f>
        <v>31.01</v>
      </c>
      <c r="D75" s="80">
        <v>0</v>
      </c>
      <c r="E75" s="80">
        <v>0</v>
      </c>
      <c r="F75" s="81">
        <v>0</v>
      </c>
      <c r="G75" s="81">
        <v>0.131436865021771</v>
      </c>
    </row>
    <row r="76" spans="1:7">
      <c r="A76" s="530" t="s">
        <v>175</v>
      </c>
      <c r="B76" s="101">
        <v>35.74</v>
      </c>
      <c r="C76" s="79">
        <f t="shared" si="1"/>
        <v>34.45</v>
      </c>
      <c r="D76" s="80">
        <v>0</v>
      </c>
      <c r="E76" s="80">
        <v>0</v>
      </c>
      <c r="F76" s="81">
        <v>0</v>
      </c>
      <c r="G76" s="81">
        <v>0.141130386121992</v>
      </c>
    </row>
    <row r="77" spans="1:7">
      <c r="A77" s="530" t="s">
        <v>176</v>
      </c>
      <c r="B77" s="101">
        <v>36.63</v>
      </c>
      <c r="C77" s="79">
        <f t="shared" si="1"/>
        <v>35.74</v>
      </c>
      <c r="D77" s="80">
        <v>0</v>
      </c>
      <c r="E77" s="80">
        <v>0</v>
      </c>
      <c r="F77" s="81">
        <v>0</v>
      </c>
      <c r="G77" s="81">
        <v>0.147420147420147</v>
      </c>
    </row>
    <row r="78" spans="1:7">
      <c r="A78" s="530" t="s">
        <v>177</v>
      </c>
      <c r="B78" s="101">
        <v>37.83</v>
      </c>
      <c r="C78" s="79">
        <f t="shared" si="1"/>
        <v>36.63</v>
      </c>
      <c r="D78" s="80">
        <v>0</v>
      </c>
      <c r="E78" s="80">
        <v>0</v>
      </c>
      <c r="F78" s="81">
        <v>0</v>
      </c>
      <c r="G78" s="81">
        <v>0.15543219666931</v>
      </c>
    </row>
    <row r="79" spans="1:7">
      <c r="A79" s="530" t="s">
        <v>178</v>
      </c>
      <c r="B79" s="101">
        <v>38.82</v>
      </c>
      <c r="C79" s="79">
        <f t="shared" si="1"/>
        <v>37.83</v>
      </c>
      <c r="D79" s="80">
        <v>0</v>
      </c>
      <c r="E79" s="80">
        <v>0</v>
      </c>
      <c r="F79" s="81">
        <v>0</v>
      </c>
      <c r="G79" s="81">
        <v>0.161669242658424</v>
      </c>
    </row>
    <row r="80" spans="1:7">
      <c r="A80" s="78" t="s">
        <v>179</v>
      </c>
      <c r="B80" s="101">
        <v>42.49</v>
      </c>
      <c r="C80" s="79">
        <f t="shared" si="1"/>
        <v>38.82</v>
      </c>
      <c r="D80" s="80">
        <v>0</v>
      </c>
      <c r="E80" s="80">
        <v>0</v>
      </c>
      <c r="F80" s="81">
        <v>0</v>
      </c>
      <c r="G80" s="81">
        <v>0.182254648152506</v>
      </c>
    </row>
    <row r="81" spans="1:7">
      <c r="A81" s="78" t="s">
        <v>180</v>
      </c>
      <c r="B81" s="101">
        <v>45.6</v>
      </c>
      <c r="C81" s="79">
        <f t="shared" si="1"/>
        <v>42.49</v>
      </c>
      <c r="D81" s="80">
        <v>0</v>
      </c>
      <c r="E81" s="80">
        <v>0</v>
      </c>
      <c r="F81" s="81">
        <v>0</v>
      </c>
      <c r="G81" s="81">
        <v>0.197105263157895</v>
      </c>
    </row>
    <row r="82" spans="1:7">
      <c r="A82" s="78" t="s">
        <v>181</v>
      </c>
      <c r="B82" s="101">
        <v>46.94</v>
      </c>
      <c r="C82" s="79">
        <f t="shared" si="1"/>
        <v>45.6</v>
      </c>
      <c r="D82" s="80">
        <v>0</v>
      </c>
      <c r="E82" s="80">
        <v>0</v>
      </c>
      <c r="F82" s="81">
        <v>0</v>
      </c>
      <c r="G82" s="81">
        <v>0.202897315722199</v>
      </c>
    </row>
    <row r="83" spans="1:7">
      <c r="A83" s="78" t="s">
        <v>182</v>
      </c>
      <c r="B83" s="101">
        <v>48.23</v>
      </c>
      <c r="C83" s="79">
        <f t="shared" si="1"/>
        <v>46.94</v>
      </c>
      <c r="D83" s="80">
        <v>0</v>
      </c>
      <c r="E83" s="80">
        <v>0</v>
      </c>
      <c r="F83" s="81">
        <v>0</v>
      </c>
      <c r="G83" s="81">
        <v>0.208169189301265</v>
      </c>
    </row>
    <row r="84" spans="1:7">
      <c r="A84" s="78" t="s">
        <v>183</v>
      </c>
      <c r="B84" s="101">
        <v>51.27</v>
      </c>
      <c r="C84" s="79">
        <f t="shared" si="1"/>
        <v>48.23</v>
      </c>
      <c r="D84" s="80">
        <v>0.0397337624341721</v>
      </c>
      <c r="E84" s="80"/>
      <c r="F84" s="81">
        <v>0.0050688511800273</v>
      </c>
      <c r="G84" s="81">
        <v>0.219543592744295</v>
      </c>
    </row>
    <row r="85" spans="1:7">
      <c r="A85" s="78" t="s">
        <v>184</v>
      </c>
      <c r="B85" s="101">
        <v>55.52</v>
      </c>
      <c r="C85" s="79">
        <f t="shared" si="1"/>
        <v>51.27</v>
      </c>
      <c r="D85" s="80">
        <v>0.113241174351585</v>
      </c>
      <c r="E85" s="80">
        <v>0.0113241174351585</v>
      </c>
      <c r="F85" s="81">
        <v>0.012335734870317</v>
      </c>
      <c r="G85" s="81">
        <v>0.23335734870317</v>
      </c>
    </row>
    <row r="86" spans="1:7">
      <c r="A86" s="78" t="s">
        <v>185</v>
      </c>
      <c r="B86" s="101">
        <v>58.11</v>
      </c>
      <c r="C86" s="79">
        <f t="shared" si="1"/>
        <v>55.52</v>
      </c>
      <c r="D86" s="80">
        <v>0.15276458440888</v>
      </c>
      <c r="E86" s="80">
        <v>0.015276458440888</v>
      </c>
      <c r="F86" s="81">
        <v>0.0162429874376183</v>
      </c>
      <c r="G86" s="81">
        <v>0.240784718637068</v>
      </c>
    </row>
    <row r="87" spans="1:7">
      <c r="A87" s="78" t="s">
        <v>186</v>
      </c>
      <c r="B87" s="101">
        <v>60.05</v>
      </c>
      <c r="C87" s="79">
        <f t="shared" si="1"/>
        <v>58.11</v>
      </c>
      <c r="D87" s="80">
        <v>0.180135720233139</v>
      </c>
      <c r="E87" s="80">
        <v>0.0180135720233139</v>
      </c>
      <c r="F87" s="81">
        <v>0.0189488759367194</v>
      </c>
      <c r="G87" s="81">
        <v>0.245928393005828</v>
      </c>
    </row>
    <row r="88" spans="1:7">
      <c r="A88" s="78" t="s">
        <v>187</v>
      </c>
      <c r="B88" s="101">
        <v>62</v>
      </c>
      <c r="C88" s="79">
        <f t="shared" si="1"/>
        <v>60.05</v>
      </c>
      <c r="D88" s="80">
        <v>0.205921774193548</v>
      </c>
      <c r="E88" s="80">
        <v>0.0205921774193548</v>
      </c>
      <c r="F88" s="81">
        <v>0.021498064516129</v>
      </c>
      <c r="G88" s="81">
        <v>0.250774193548387</v>
      </c>
    </row>
    <row r="89" spans="1:7">
      <c r="A89" s="78" t="s">
        <v>188</v>
      </c>
      <c r="B89" s="101">
        <v>64.21</v>
      </c>
      <c r="C89" s="79">
        <f t="shared" si="1"/>
        <v>62</v>
      </c>
      <c r="D89" s="80">
        <v>0.23325260862794</v>
      </c>
      <c r="E89" s="80">
        <v>0.023325260862794</v>
      </c>
      <c r="F89" s="81">
        <v>0.0241999688522037</v>
      </c>
      <c r="G89" s="81">
        <v>0.255910294346675</v>
      </c>
    </row>
    <row r="90" spans="1:7">
      <c r="A90" s="78" t="s">
        <v>189</v>
      </c>
      <c r="B90" s="101">
        <v>66.32</v>
      </c>
      <c r="C90" s="79">
        <f t="shared" si="1"/>
        <v>64.21</v>
      </c>
      <c r="D90" s="80">
        <v>0.257647014475271</v>
      </c>
      <c r="E90" s="80">
        <v>0.0257647014475271</v>
      </c>
      <c r="F90" s="81">
        <v>0.0266115802171291</v>
      </c>
      <c r="G90" s="81">
        <v>0.260494571773221</v>
      </c>
    </row>
    <row r="91" spans="1:7">
      <c r="A91" s="78" t="s">
        <v>190</v>
      </c>
      <c r="B91" s="101">
        <v>70.27</v>
      </c>
      <c r="C91" s="79">
        <f t="shared" si="1"/>
        <v>66.32</v>
      </c>
      <c r="D91" s="80">
        <v>0.299375978369148</v>
      </c>
      <c r="E91" s="80">
        <v>0.0299375978369148</v>
      </c>
      <c r="F91" s="81">
        <v>0.0307368720648925</v>
      </c>
      <c r="G91" s="81">
        <v>0.268336416678526</v>
      </c>
    </row>
    <row r="92" spans="1:7">
      <c r="A92" s="78" t="s">
        <v>191</v>
      </c>
      <c r="B92" s="101">
        <v>71.75</v>
      </c>
      <c r="C92" s="79">
        <f t="shared" si="1"/>
        <v>70.27</v>
      </c>
      <c r="D92" s="80">
        <v>0.31382787456446</v>
      </c>
      <c r="E92" s="80">
        <v>0.031382787456446</v>
      </c>
      <c r="F92" s="81">
        <v>0.032165574912892</v>
      </c>
      <c r="G92" s="81">
        <v>0.271052264808362</v>
      </c>
    </row>
    <row r="93" spans="1:7">
      <c r="A93" s="78" t="s">
        <v>192</v>
      </c>
      <c r="B93" s="101">
        <v>73.08</v>
      </c>
      <c r="C93" s="79">
        <f t="shared" si="1"/>
        <v>71.75</v>
      </c>
      <c r="D93" s="80">
        <v>0.326315681444992</v>
      </c>
      <c r="E93" s="80">
        <v>0.0326315681444992</v>
      </c>
      <c r="F93" s="81">
        <v>0.033400109469075</v>
      </c>
      <c r="G93" s="81">
        <v>0.273399014778325</v>
      </c>
    </row>
    <row r="94" spans="1:7">
      <c r="A94" s="78" t="s">
        <v>193</v>
      </c>
      <c r="B94" s="101">
        <v>74.54</v>
      </c>
      <c r="C94" s="79">
        <f t="shared" si="1"/>
        <v>73.08</v>
      </c>
      <c r="D94" s="80">
        <v>0.339511000804937</v>
      </c>
      <c r="E94" s="80">
        <v>0.0339511000804937</v>
      </c>
      <c r="F94" s="81">
        <v>0.0347045881405957</v>
      </c>
      <c r="G94" s="81">
        <v>0.275878722833378</v>
      </c>
    </row>
    <row r="95" spans="1:7">
      <c r="A95" s="78" t="s">
        <v>194</v>
      </c>
      <c r="B95" s="101">
        <v>77.02</v>
      </c>
      <c r="C95" s="79">
        <f t="shared" si="1"/>
        <v>74.54</v>
      </c>
      <c r="D95" s="80">
        <v>0.360778369254739</v>
      </c>
      <c r="E95" s="80">
        <v>0.0360778369254739</v>
      </c>
      <c r="F95" s="81">
        <v>0.0368070631004934</v>
      </c>
      <c r="G95" s="81">
        <v>0.279875357050117</v>
      </c>
    </row>
    <row r="96" spans="1:7">
      <c r="A96" s="78" t="s">
        <v>195</v>
      </c>
      <c r="B96" s="101">
        <v>78.04</v>
      </c>
      <c r="C96" s="79">
        <f t="shared" si="1"/>
        <v>77.02</v>
      </c>
      <c r="D96" s="80">
        <v>0.369133136852896</v>
      </c>
      <c r="E96" s="80">
        <v>0.0369133136852896</v>
      </c>
      <c r="F96" s="81">
        <v>0.0376330087134803</v>
      </c>
      <c r="G96" s="81">
        <v>0.281445412608919</v>
      </c>
    </row>
    <row r="97" spans="1:7">
      <c r="A97" s="78" t="s">
        <v>196</v>
      </c>
      <c r="B97" s="101">
        <v>79.63</v>
      </c>
      <c r="C97" s="79">
        <f t="shared" si="1"/>
        <v>78.04</v>
      </c>
      <c r="D97" s="80">
        <v>0.381729875674997</v>
      </c>
      <c r="E97" s="80">
        <v>0.0381729875674997</v>
      </c>
      <c r="F97" s="81">
        <v>0.0388783121938968</v>
      </c>
      <c r="G97" s="81">
        <v>0.283812633429612</v>
      </c>
    </row>
    <row r="98" spans="1:7">
      <c r="A98" s="78" t="s">
        <v>197</v>
      </c>
      <c r="B98" s="101">
        <v>81.38</v>
      </c>
      <c r="C98" s="79">
        <f t="shared" si="1"/>
        <v>79.63</v>
      </c>
      <c r="D98" s="80">
        <v>0.395025190464488</v>
      </c>
      <c r="E98" s="80">
        <v>0.0395025190464488</v>
      </c>
      <c r="F98" s="81">
        <v>0.0411560579995084</v>
      </c>
      <c r="G98" s="81">
        <v>0.2863111329565</v>
      </c>
    </row>
    <row r="99" spans="1:7">
      <c r="A99" s="78" t="s">
        <v>198</v>
      </c>
      <c r="B99" s="101">
        <v>84.52</v>
      </c>
      <c r="C99" s="79">
        <f t="shared" si="1"/>
        <v>81.38</v>
      </c>
      <c r="D99" s="80">
        <v>0.417500591575958</v>
      </c>
      <c r="E99" s="80">
        <v>0.050500354945575</v>
      </c>
      <c r="F99" s="81">
        <v>0.0544874585896828</v>
      </c>
      <c r="G99" s="81">
        <v>0.290534784666351</v>
      </c>
    </row>
    <row r="100" spans="1:7">
      <c r="A100" s="78" t="s">
        <v>199</v>
      </c>
      <c r="B100" s="101">
        <v>87.18</v>
      </c>
      <c r="C100" s="79">
        <f t="shared" si="1"/>
        <v>84.52</v>
      </c>
      <c r="D100" s="80">
        <v>0.435273571920165</v>
      </c>
      <c r="E100" s="80">
        <v>0.0611641431520991</v>
      </c>
      <c r="F100" s="81">
        <v>0.065029593943565</v>
      </c>
      <c r="G100" s="81">
        <v>0.293874741913283</v>
      </c>
    </row>
    <row r="101" spans="1:7">
      <c r="A101" s="78" t="s">
        <v>200</v>
      </c>
      <c r="B101" s="101">
        <v>89.07</v>
      </c>
      <c r="C101" s="79">
        <f t="shared" si="1"/>
        <v>87.18</v>
      </c>
      <c r="D101" s="80">
        <v>0.447256652071404</v>
      </c>
      <c r="E101" s="80">
        <v>0.0683539912428427</v>
      </c>
      <c r="F101" s="81">
        <v>0.0721374200067362</v>
      </c>
      <c r="G101" s="81">
        <v>0.296126641966992</v>
      </c>
    </row>
    <row r="102" spans="1:7">
      <c r="A102" s="78" t="s">
        <v>201</v>
      </c>
      <c r="B102" s="101">
        <v>90.39</v>
      </c>
      <c r="C102" s="79">
        <f t="shared" si="1"/>
        <v>89.07</v>
      </c>
      <c r="D102" s="80">
        <v>0.45532857616993</v>
      </c>
      <c r="E102" s="80">
        <v>0.0731971457019582</v>
      </c>
      <c r="F102" s="81">
        <v>0.0769253235977431</v>
      </c>
      <c r="G102" s="81">
        <v>0.297643544639894</v>
      </c>
    </row>
    <row r="103" spans="1:7">
      <c r="A103" s="78" t="s">
        <v>202</v>
      </c>
      <c r="B103" s="101">
        <v>92.16</v>
      </c>
      <c r="C103" s="79">
        <f t="shared" si="1"/>
        <v>90.39</v>
      </c>
      <c r="D103" s="80">
        <v>0.465789388020833</v>
      </c>
      <c r="E103" s="80">
        <v>0.0794736328125</v>
      </c>
      <c r="F103" s="81">
        <v>0.0831302083333333</v>
      </c>
      <c r="G103" s="81">
        <v>0.299609375</v>
      </c>
    </row>
    <row r="104" spans="1:7">
      <c r="A104" s="78" t="s">
        <v>203</v>
      </c>
      <c r="B104" s="101">
        <v>94.05</v>
      </c>
      <c r="C104" s="79">
        <f t="shared" si="1"/>
        <v>92.16</v>
      </c>
      <c r="D104" s="80">
        <v>0.476524720893142</v>
      </c>
      <c r="E104" s="80">
        <v>0.0859148325358852</v>
      </c>
      <c r="F104" s="81">
        <v>0.0894979266347687</v>
      </c>
      <c r="G104" s="81">
        <v>0.301626794258373</v>
      </c>
    </row>
    <row r="105" spans="1:7">
      <c r="A105" s="78" t="s">
        <v>204</v>
      </c>
      <c r="B105" s="101">
        <v>96.32</v>
      </c>
      <c r="C105" s="79">
        <f t="shared" si="1"/>
        <v>94.05</v>
      </c>
      <c r="D105" s="80">
        <v>0.488861607142857</v>
      </c>
      <c r="E105" s="80">
        <v>0.0933169642857143</v>
      </c>
      <c r="F105" s="81">
        <v>0.0968156146179401</v>
      </c>
      <c r="G105" s="81">
        <v>0.303945182724252</v>
      </c>
    </row>
    <row r="106" spans="1:7">
      <c r="A106" s="78" t="s">
        <v>205</v>
      </c>
      <c r="B106" s="101">
        <v>98.59</v>
      </c>
      <c r="C106" s="79">
        <f t="shared" si="1"/>
        <v>96.32</v>
      </c>
      <c r="D106" s="80">
        <v>0.500630388477533</v>
      </c>
      <c r="E106" s="80">
        <v>0.10037823308652</v>
      </c>
      <c r="F106" s="81">
        <v>0.103796328228015</v>
      </c>
      <c r="G106" s="81">
        <v>0.306156811035602</v>
      </c>
    </row>
    <row r="107" spans="1:7">
      <c r="A107" s="78" t="s">
        <v>206</v>
      </c>
      <c r="B107" s="101">
        <v>99.5</v>
      </c>
      <c r="C107" s="79">
        <f t="shared" si="1"/>
        <v>98.59</v>
      </c>
      <c r="D107" s="80">
        <v>0.505197487437186</v>
      </c>
      <c r="E107" s="80">
        <v>0.103118492462312</v>
      </c>
      <c r="F107" s="81">
        <v>0.106505326633166</v>
      </c>
      <c r="G107" s="81">
        <v>0.307015075376884</v>
      </c>
    </row>
    <row r="108" spans="1:7">
      <c r="A108" s="78" t="s">
        <v>207</v>
      </c>
      <c r="B108" s="101">
        <v>100.92</v>
      </c>
      <c r="C108" s="79">
        <f t="shared" si="1"/>
        <v>99.5</v>
      </c>
      <c r="D108" s="80">
        <v>0.512159631391201</v>
      </c>
      <c r="E108" s="80">
        <v>0.107295778834721</v>
      </c>
      <c r="F108" s="81">
        <v>0.110634958382877</v>
      </c>
      <c r="G108" s="81">
        <v>0.308323424494649</v>
      </c>
    </row>
    <row r="109" spans="1:7">
      <c r="A109" s="78" t="s">
        <v>208</v>
      </c>
      <c r="B109" s="101">
        <v>102.26</v>
      </c>
      <c r="C109" s="79">
        <f t="shared" si="1"/>
        <v>100.92</v>
      </c>
      <c r="D109" s="80">
        <v>0.518552219831801</v>
      </c>
      <c r="E109" s="80">
        <v>0.111131331899081</v>
      </c>
      <c r="F109" s="81">
        <v>0.114426755329552</v>
      </c>
      <c r="G109" s="81">
        <v>0.30952474085664</v>
      </c>
    </row>
    <row r="110" spans="1:7">
      <c r="A110" s="78" t="s">
        <v>209</v>
      </c>
      <c r="B110" s="101">
        <v>103.92</v>
      </c>
      <c r="C110" s="79">
        <f t="shared" si="1"/>
        <v>102.26</v>
      </c>
      <c r="D110" s="80">
        <v>0.526242782909931</v>
      </c>
      <c r="E110" s="80">
        <v>0.115745669745958</v>
      </c>
      <c r="F110" s="81">
        <v>0.118988452655889</v>
      </c>
      <c r="G110" s="81">
        <v>0.310969976905312</v>
      </c>
    </row>
    <row r="111" spans="1:7">
      <c r="A111" s="78" t="s">
        <v>210</v>
      </c>
      <c r="B111" s="101">
        <v>110.09</v>
      </c>
      <c r="C111" s="79">
        <f t="shared" si="1"/>
        <v>103.92</v>
      </c>
      <c r="D111" s="80">
        <v>0.552794531746753</v>
      </c>
      <c r="E111" s="80">
        <v>0.131676719048052</v>
      </c>
      <c r="F111" s="81">
        <v>0.134737760014534</v>
      </c>
      <c r="G111" s="81">
        <v>0.315959669361432</v>
      </c>
    </row>
    <row r="112" spans="1:7">
      <c r="A112" s="78" t="s">
        <v>211</v>
      </c>
      <c r="B112" s="101">
        <v>113.17</v>
      </c>
      <c r="C112" s="79">
        <f t="shared" si="1"/>
        <v>110.09</v>
      </c>
      <c r="D112" s="80">
        <v>0.564965538570293</v>
      </c>
      <c r="E112" s="80">
        <v>0.138979323142176</v>
      </c>
      <c r="F112" s="81">
        <v>0.141957055756826</v>
      </c>
      <c r="G112" s="81">
        <v>0.31824688521693</v>
      </c>
    </row>
    <row r="113" spans="1:7">
      <c r="A113" s="78" t="s">
        <v>212</v>
      </c>
      <c r="B113" s="101">
        <v>115.85</v>
      </c>
      <c r="C113" s="79">
        <f t="shared" si="1"/>
        <v>113.17</v>
      </c>
      <c r="D113" s="80">
        <v>0.575029348295209</v>
      </c>
      <c r="E113" s="80">
        <v>0.145017608977126</v>
      </c>
      <c r="F113" s="81">
        <v>0.147926456624946</v>
      </c>
      <c r="G113" s="81">
        <v>0.320138109624514</v>
      </c>
    </row>
    <row r="114" spans="1:7">
      <c r="A114" s="78" t="s">
        <v>213</v>
      </c>
      <c r="B114" s="101">
        <v>120.52</v>
      </c>
      <c r="C114" s="79">
        <f t="shared" si="1"/>
        <v>115.85</v>
      </c>
      <c r="D114" s="80">
        <v>0.591496432127448</v>
      </c>
      <c r="E114" s="80">
        <v>0.154897859276469</v>
      </c>
      <c r="F114" s="81">
        <v>0.157693992698307</v>
      </c>
      <c r="G114" s="81">
        <v>0.32323265847992</v>
      </c>
    </row>
    <row r="115" spans="1:7">
      <c r="A115" s="78" t="s">
        <v>214</v>
      </c>
      <c r="B115" s="101">
        <v>127.64</v>
      </c>
      <c r="C115" s="79">
        <f t="shared" si="1"/>
        <v>120.52</v>
      </c>
      <c r="D115" s="80">
        <v>0.614283531808211</v>
      </c>
      <c r="E115" s="80">
        <v>0.168570119084926</v>
      </c>
      <c r="F115" s="81">
        <v>0.171210278909433</v>
      </c>
      <c r="G115" s="81">
        <v>0.327514885615794</v>
      </c>
    </row>
    <row r="116" spans="1:7">
      <c r="A116" s="78" t="s">
        <v>215</v>
      </c>
      <c r="B116" s="101">
        <v>135.72</v>
      </c>
      <c r="C116" s="79">
        <f t="shared" si="1"/>
        <v>127.64</v>
      </c>
      <c r="D116" s="80">
        <v>0.637246905393457</v>
      </c>
      <c r="E116" s="80">
        <v>0.182348143236074</v>
      </c>
      <c r="F116" s="81">
        <v>0.184831122900088</v>
      </c>
      <c r="G116" s="81">
        <v>0.33183023872679</v>
      </c>
    </row>
    <row r="117" spans="1:7">
      <c r="A117" s="78" t="s">
        <v>216</v>
      </c>
      <c r="B117" s="101">
        <v>137.22</v>
      </c>
      <c r="C117" s="79">
        <f t="shared" si="1"/>
        <v>135.72</v>
      </c>
      <c r="D117" s="80">
        <v>0.641212286838653</v>
      </c>
      <c r="E117" s="80">
        <v>0.184727372103192</v>
      </c>
      <c r="F117" s="81">
        <v>0.187183209444687</v>
      </c>
      <c r="G117" s="81">
        <v>0.332575426322693</v>
      </c>
    </row>
    <row r="118" spans="1:7">
      <c r="A118" s="78" t="s">
        <v>217</v>
      </c>
      <c r="B118" s="101">
        <v>140.2</v>
      </c>
      <c r="C118" s="79">
        <f t="shared" si="1"/>
        <v>137.22</v>
      </c>
      <c r="D118" s="80">
        <v>0.648838445078459</v>
      </c>
      <c r="E118" s="80">
        <v>0.189303067047076</v>
      </c>
      <c r="F118" s="81">
        <v>0.191706704707561</v>
      </c>
      <c r="G118" s="81">
        <v>0.334008559201141</v>
      </c>
    </row>
    <row r="119" spans="1:7">
      <c r="A119" s="78" t="s">
        <v>218</v>
      </c>
      <c r="B119" s="101">
        <v>144.41</v>
      </c>
      <c r="C119" s="79">
        <f t="shared" si="1"/>
        <v>140.2</v>
      </c>
      <c r="D119" s="80">
        <v>0.65907589502112</v>
      </c>
      <c r="E119" s="80">
        <v>0.195445537012672</v>
      </c>
      <c r="F119" s="81">
        <v>0.197779101170279</v>
      </c>
      <c r="G119" s="81">
        <v>0.335932414652725</v>
      </c>
    </row>
    <row r="120" spans="1:7">
      <c r="A120" s="78" t="s">
        <v>219</v>
      </c>
      <c r="B120" s="101">
        <v>150.15</v>
      </c>
      <c r="C120" s="79">
        <f t="shared" si="1"/>
        <v>144.41</v>
      </c>
      <c r="D120" s="80">
        <v>0.672108891108891</v>
      </c>
      <c r="E120" s="80">
        <v>0.203265334665335</v>
      </c>
      <c r="F120" s="81">
        <v>0.20550969030969</v>
      </c>
      <c r="G120" s="81">
        <v>0.338381618381618</v>
      </c>
    </row>
    <row r="121" spans="1:7">
      <c r="A121" s="78" t="s">
        <v>220</v>
      </c>
      <c r="B121" s="101">
        <v>151.98</v>
      </c>
      <c r="C121" s="79">
        <f t="shared" si="1"/>
        <v>150.15</v>
      </c>
      <c r="D121" s="80">
        <v>0.676057046979866</v>
      </c>
      <c r="E121" s="80">
        <v>0.205634228187919</v>
      </c>
      <c r="F121" s="81">
        <v>0.207851559415713</v>
      </c>
      <c r="G121" s="81">
        <v>0.339123568890644</v>
      </c>
    </row>
    <row r="122" spans="1:7">
      <c r="A122" s="78" t="s">
        <v>221</v>
      </c>
      <c r="B122" s="101">
        <v>161.07</v>
      </c>
      <c r="C122" s="79">
        <f t="shared" si="1"/>
        <v>151.98</v>
      </c>
      <c r="D122" s="80">
        <v>0.694338796796424</v>
      </c>
      <c r="E122" s="80">
        <v>0.216603278077854</v>
      </c>
      <c r="F122" s="81">
        <v>0.218695474017508</v>
      </c>
      <c r="G122" s="81">
        <v>0.342559135779475</v>
      </c>
    </row>
    <row r="123" spans="1:7">
      <c r="A123" s="78" t="s">
        <v>221</v>
      </c>
      <c r="B123" s="78" t="s">
        <v>231</v>
      </c>
      <c r="C123" s="79">
        <f t="shared" si="1"/>
        <v>161.07</v>
      </c>
      <c r="D123" s="83" t="s">
        <v>232</v>
      </c>
      <c r="E123" s="83"/>
      <c r="F123" s="84"/>
      <c r="G123" s="84"/>
    </row>
    <row r="124" spans="1:7">
      <c r="A124" s="78"/>
      <c r="B124" s="78"/>
      <c r="C124" s="78"/>
      <c r="D124" s="83"/>
      <c r="E124" s="85">
        <v>0.0712579707035911</v>
      </c>
      <c r="F124" s="86">
        <v>0.0729969084505564</v>
      </c>
      <c r="G124" s="86">
        <v>0.264101848913184</v>
      </c>
    </row>
    <row r="125" ht="26.25" customHeight="1" spans="1:7">
      <c r="A125" s="87" t="s">
        <v>233</v>
      </c>
      <c r="B125" s="118">
        <v>25.7</v>
      </c>
      <c r="C125" s="78"/>
      <c r="D125" s="83"/>
      <c r="E125" s="103">
        <v>82.05475</v>
      </c>
      <c r="F125" s="104">
        <v>81.1186666666667</v>
      </c>
      <c r="G125" s="105">
        <v>25.7</v>
      </c>
    </row>
    <row r="126" ht="27.75" customHeight="1" spans="1:7">
      <c r="A126" s="87" t="s">
        <v>224</v>
      </c>
      <c r="B126" s="93">
        <v>84.6</v>
      </c>
      <c r="C126" s="78"/>
      <c r="D126" s="83"/>
      <c r="E126" s="93"/>
      <c r="F126" s="94"/>
      <c r="G126" s="94"/>
    </row>
    <row r="127" ht="37.5" customHeight="1" spans="1:7">
      <c r="A127" s="106" t="s">
        <v>225</v>
      </c>
      <c r="B127" s="89">
        <v>50.8</v>
      </c>
      <c r="C127" s="78"/>
      <c r="D127" s="83"/>
      <c r="E127" s="103">
        <v>49.23285</v>
      </c>
      <c r="F127" s="104">
        <v>48.6712</v>
      </c>
      <c r="G127" s="104">
        <v>15.42</v>
      </c>
    </row>
    <row r="129" ht="29.65" customHeight="1" spans="1:2">
      <c r="A129" s="87" t="s">
        <v>224</v>
      </c>
      <c r="B129">
        <f>B126</f>
        <v>84.6</v>
      </c>
    </row>
    <row r="130" spans="1:3">
      <c r="A130" s="531" t="s">
        <v>226</v>
      </c>
      <c r="B130" s="95">
        <f>AVERAGE(B78:B117)</f>
        <v>82.05475</v>
      </c>
      <c r="C130" s="95"/>
    </row>
    <row r="131" spans="1:3">
      <c r="A131" s="531" t="s">
        <v>227</v>
      </c>
      <c r="B131" s="96">
        <f>AVERAGE(B83:B112)</f>
        <v>81.1186666666667</v>
      </c>
      <c r="C131" s="96"/>
    </row>
    <row r="132" spans="1:3">
      <c r="A132" s="531" t="s">
        <v>228</v>
      </c>
      <c r="B132" s="96">
        <f>AVERAGE(B89:B107)</f>
        <v>82.5273684210526</v>
      </c>
      <c r="C132" s="96"/>
    </row>
    <row r="134" customHeight="1" spans="1:7">
      <c r="A134" s="97" t="s">
        <v>165</v>
      </c>
      <c r="B134" s="83" t="s">
        <v>234</v>
      </c>
      <c r="C134" s="83"/>
      <c r="D134" s="83"/>
      <c r="E134" s="86">
        <f>(1-E189)^(1/3)-1</f>
        <v>-0.0344728109467721</v>
      </c>
      <c r="F134" s="86">
        <f>(1-F189)^(1/3)-1</f>
        <v>-0.0388760040577837</v>
      </c>
      <c r="G134" s="86"/>
    </row>
    <row r="135" ht="46.15" customHeight="1" spans="1:7">
      <c r="A135" s="99"/>
      <c r="B135" s="93" t="s">
        <v>167</v>
      </c>
      <c r="C135" s="107"/>
      <c r="D135" s="93" t="s">
        <v>168</v>
      </c>
      <c r="E135" s="83" t="s">
        <v>169</v>
      </c>
      <c r="F135" s="84" t="s">
        <v>169</v>
      </c>
      <c r="G135" s="84"/>
    </row>
    <row r="136" spans="1:7">
      <c r="A136" s="100"/>
      <c r="B136" s="83" t="s">
        <v>235</v>
      </c>
      <c r="C136" s="107"/>
      <c r="D136" s="83" t="s">
        <v>171</v>
      </c>
      <c r="E136" s="532" t="s">
        <v>227</v>
      </c>
      <c r="F136" s="122"/>
      <c r="G136" s="123"/>
    </row>
    <row r="137" spans="1:7">
      <c r="A137" s="75">
        <v>1</v>
      </c>
      <c r="B137" s="76">
        <v>2</v>
      </c>
      <c r="C137" s="76"/>
      <c r="D137" s="76">
        <v>3</v>
      </c>
      <c r="E137" s="76">
        <v>4</v>
      </c>
      <c r="F137" s="77">
        <v>5</v>
      </c>
      <c r="G137" s="77"/>
    </row>
    <row r="138" spans="1:7">
      <c r="A138" s="530" t="s">
        <v>172</v>
      </c>
      <c r="B138" s="125">
        <v>0.08</v>
      </c>
      <c r="C138" s="112">
        <v>0</v>
      </c>
      <c r="D138" s="80">
        <v>0</v>
      </c>
      <c r="E138" s="80">
        <v>0</v>
      </c>
      <c r="F138" s="81">
        <v>0</v>
      </c>
      <c r="G138" s="81">
        <v>0</v>
      </c>
    </row>
    <row r="139" spans="1:7">
      <c r="A139" s="530" t="s">
        <v>173</v>
      </c>
      <c r="B139" s="125">
        <v>0.1</v>
      </c>
      <c r="C139" s="79">
        <f>B138</f>
        <v>0.08</v>
      </c>
      <c r="D139" s="80">
        <v>0</v>
      </c>
      <c r="E139" s="80">
        <v>0</v>
      </c>
      <c r="F139" s="81">
        <v>0</v>
      </c>
      <c r="G139" s="81">
        <v>0</v>
      </c>
    </row>
    <row r="140" spans="1:7">
      <c r="A140" s="530" t="s">
        <v>174</v>
      </c>
      <c r="B140" s="125">
        <v>0.12</v>
      </c>
      <c r="C140" s="79">
        <f t="shared" ref="C140:C188" si="2">B139</f>
        <v>0.1</v>
      </c>
      <c r="D140" s="80">
        <v>0</v>
      </c>
      <c r="E140" s="80">
        <v>0</v>
      </c>
      <c r="F140" s="81">
        <v>0</v>
      </c>
      <c r="G140" s="81">
        <v>0</v>
      </c>
    </row>
    <row r="141" spans="1:7">
      <c r="A141" s="530" t="s">
        <v>175</v>
      </c>
      <c r="B141" s="125">
        <v>0.13</v>
      </c>
      <c r="C141" s="79">
        <f t="shared" si="2"/>
        <v>0.12</v>
      </c>
      <c r="D141" s="80">
        <v>0</v>
      </c>
      <c r="E141" s="80">
        <v>0</v>
      </c>
      <c r="F141" s="81">
        <v>0</v>
      </c>
      <c r="G141" s="81">
        <v>0</v>
      </c>
    </row>
    <row r="142" spans="1:7">
      <c r="A142" s="530" t="s">
        <v>176</v>
      </c>
      <c r="B142" s="125">
        <v>0.15</v>
      </c>
      <c r="C142" s="79">
        <f t="shared" si="2"/>
        <v>0.13</v>
      </c>
      <c r="D142" s="80">
        <v>0</v>
      </c>
      <c r="E142" s="80">
        <v>0</v>
      </c>
      <c r="F142" s="81">
        <v>0</v>
      </c>
      <c r="G142" s="81">
        <v>0</v>
      </c>
    </row>
    <row r="143" spans="1:7">
      <c r="A143" s="530" t="s">
        <v>177</v>
      </c>
      <c r="B143" s="125">
        <v>0.17</v>
      </c>
      <c r="C143" s="79">
        <f t="shared" si="2"/>
        <v>0.15</v>
      </c>
      <c r="D143" s="80">
        <v>0</v>
      </c>
      <c r="E143" s="80">
        <v>0</v>
      </c>
      <c r="F143" s="81">
        <v>0</v>
      </c>
      <c r="G143" s="81">
        <v>0</v>
      </c>
    </row>
    <row r="144" spans="1:7">
      <c r="A144" s="530" t="s">
        <v>178</v>
      </c>
      <c r="B144" s="125">
        <v>0.18</v>
      </c>
      <c r="C144" s="79">
        <f t="shared" si="2"/>
        <v>0.17</v>
      </c>
      <c r="D144" s="80">
        <v>0</v>
      </c>
      <c r="E144" s="80">
        <v>0</v>
      </c>
      <c r="F144" s="81">
        <v>0</v>
      </c>
      <c r="G144" s="81">
        <v>0</v>
      </c>
    </row>
    <row r="145" spans="1:7">
      <c r="A145" s="78" t="s">
        <v>179</v>
      </c>
      <c r="B145" s="125">
        <v>0.2</v>
      </c>
      <c r="C145" s="79">
        <f t="shared" si="2"/>
        <v>0.18</v>
      </c>
      <c r="D145" s="80">
        <v>0</v>
      </c>
      <c r="E145" s="80">
        <v>0</v>
      </c>
      <c r="F145" s="81">
        <v>0</v>
      </c>
      <c r="G145" s="81">
        <v>0</v>
      </c>
    </row>
    <row r="146" spans="1:7">
      <c r="A146" s="78" t="s">
        <v>180</v>
      </c>
      <c r="B146" s="125">
        <v>0.24</v>
      </c>
      <c r="C146" s="79">
        <f t="shared" si="2"/>
        <v>0.2</v>
      </c>
      <c r="D146" s="80">
        <v>0</v>
      </c>
      <c r="E146" s="80">
        <v>0</v>
      </c>
      <c r="F146" s="81">
        <v>0</v>
      </c>
      <c r="G146" s="81">
        <v>0</v>
      </c>
    </row>
    <row r="147" spans="1:7">
      <c r="A147" s="78" t="s">
        <v>181</v>
      </c>
      <c r="B147" s="125">
        <v>0.34</v>
      </c>
      <c r="C147" s="79">
        <f t="shared" si="2"/>
        <v>0.24</v>
      </c>
      <c r="D147" s="80">
        <v>0</v>
      </c>
      <c r="E147" s="80">
        <v>0</v>
      </c>
      <c r="F147" s="81">
        <v>0</v>
      </c>
      <c r="G147" s="81">
        <v>0</v>
      </c>
    </row>
    <row r="148" spans="1:7">
      <c r="A148" s="78" t="s">
        <v>182</v>
      </c>
      <c r="B148" s="125">
        <v>0.44</v>
      </c>
      <c r="C148" s="79">
        <f t="shared" si="2"/>
        <v>0.34</v>
      </c>
      <c r="D148" s="80">
        <v>0</v>
      </c>
      <c r="E148" s="80">
        <v>0</v>
      </c>
      <c r="F148" s="81">
        <v>0</v>
      </c>
      <c r="G148" s="81">
        <v>0</v>
      </c>
    </row>
    <row r="149" spans="1:7">
      <c r="A149" s="78" t="s">
        <v>183</v>
      </c>
      <c r="B149" s="125">
        <v>0.49</v>
      </c>
      <c r="C149" s="79">
        <f t="shared" si="2"/>
        <v>0.44</v>
      </c>
      <c r="D149" s="80">
        <v>0</v>
      </c>
      <c r="E149" s="80">
        <v>0</v>
      </c>
      <c r="F149" s="81">
        <v>0</v>
      </c>
      <c r="G149" s="81">
        <v>0</v>
      </c>
    </row>
    <row r="150" spans="1:7">
      <c r="A150" s="78" t="s">
        <v>184</v>
      </c>
      <c r="B150" s="125">
        <v>0.62</v>
      </c>
      <c r="C150" s="79">
        <f t="shared" si="2"/>
        <v>0.49</v>
      </c>
      <c r="D150" s="80">
        <v>0</v>
      </c>
      <c r="E150" s="80">
        <v>0</v>
      </c>
      <c r="F150" s="81">
        <v>0</v>
      </c>
      <c r="G150" s="81">
        <v>0</v>
      </c>
    </row>
    <row r="151" spans="1:7">
      <c r="A151" s="78" t="s">
        <v>185</v>
      </c>
      <c r="B151" s="125">
        <v>0.78</v>
      </c>
      <c r="C151" s="79">
        <f t="shared" si="2"/>
        <v>0.62</v>
      </c>
      <c r="D151" s="80">
        <v>0</v>
      </c>
      <c r="E151" s="80">
        <v>0</v>
      </c>
      <c r="F151" s="81">
        <v>0</v>
      </c>
      <c r="G151" s="81">
        <v>0</v>
      </c>
    </row>
    <row r="152" spans="1:7">
      <c r="A152" s="78" t="s">
        <v>186</v>
      </c>
      <c r="B152" s="125">
        <v>0.86</v>
      </c>
      <c r="C152" s="79">
        <f t="shared" si="2"/>
        <v>0.78</v>
      </c>
      <c r="D152" s="80">
        <v>0</v>
      </c>
      <c r="E152" s="80">
        <v>0</v>
      </c>
      <c r="F152" s="81">
        <v>0</v>
      </c>
      <c r="G152" s="81">
        <v>0</v>
      </c>
    </row>
    <row r="153" spans="1:7">
      <c r="A153" s="78" t="s">
        <v>187</v>
      </c>
      <c r="B153" s="125">
        <v>0.96</v>
      </c>
      <c r="C153" s="79">
        <f t="shared" si="2"/>
        <v>0.86</v>
      </c>
      <c r="D153" s="80">
        <v>0</v>
      </c>
      <c r="E153" s="80">
        <v>0</v>
      </c>
      <c r="F153" s="81">
        <v>0</v>
      </c>
      <c r="G153" s="81">
        <v>0</v>
      </c>
    </row>
    <row r="154" spans="1:7">
      <c r="A154" s="78" t="s">
        <v>188</v>
      </c>
      <c r="B154" s="125">
        <v>1.15</v>
      </c>
      <c r="C154" s="79">
        <f t="shared" si="2"/>
        <v>0.96</v>
      </c>
      <c r="D154" s="80">
        <v>0</v>
      </c>
      <c r="E154" s="80">
        <v>0</v>
      </c>
      <c r="F154" s="81">
        <v>0</v>
      </c>
      <c r="G154" s="81">
        <v>0</v>
      </c>
    </row>
    <row r="155" spans="1:7">
      <c r="A155" s="78" t="s">
        <v>189</v>
      </c>
      <c r="B155" s="125">
        <v>1.53</v>
      </c>
      <c r="C155" s="79">
        <f t="shared" si="2"/>
        <v>1.15</v>
      </c>
      <c r="D155" s="80">
        <v>0</v>
      </c>
      <c r="E155" s="80">
        <v>0</v>
      </c>
      <c r="F155" s="81">
        <v>0</v>
      </c>
      <c r="G155" s="81">
        <v>0</v>
      </c>
    </row>
    <row r="156" spans="1:7">
      <c r="A156" s="78" t="s">
        <v>190</v>
      </c>
      <c r="B156" s="125">
        <v>2.07</v>
      </c>
      <c r="C156" s="79">
        <f t="shared" si="2"/>
        <v>1.53</v>
      </c>
      <c r="D156" s="80">
        <v>0</v>
      </c>
      <c r="E156" s="80">
        <v>0</v>
      </c>
      <c r="F156" s="81">
        <v>0</v>
      </c>
      <c r="G156" s="81">
        <v>0</v>
      </c>
    </row>
    <row r="157" spans="1:7">
      <c r="A157" s="78" t="s">
        <v>191</v>
      </c>
      <c r="B157" s="125">
        <v>2.92</v>
      </c>
      <c r="C157" s="79">
        <f t="shared" si="2"/>
        <v>2.07</v>
      </c>
      <c r="D157" s="80">
        <v>0</v>
      </c>
      <c r="E157" s="80">
        <v>0</v>
      </c>
      <c r="F157" s="81">
        <v>0</v>
      </c>
      <c r="G157" s="81">
        <v>0</v>
      </c>
    </row>
    <row r="158" spans="1:7">
      <c r="A158" s="78" t="s">
        <v>192</v>
      </c>
      <c r="B158" s="125">
        <v>3.56</v>
      </c>
      <c r="C158" s="79">
        <f t="shared" si="2"/>
        <v>2.92</v>
      </c>
      <c r="D158" s="80">
        <v>0</v>
      </c>
      <c r="E158" s="80">
        <v>0</v>
      </c>
      <c r="F158" s="81">
        <v>0</v>
      </c>
      <c r="G158" s="81">
        <v>0</v>
      </c>
    </row>
    <row r="159" spans="1:7">
      <c r="A159" s="78" t="s">
        <v>193</v>
      </c>
      <c r="B159" s="125">
        <v>3.76</v>
      </c>
      <c r="C159" s="79">
        <f t="shared" si="2"/>
        <v>3.56</v>
      </c>
      <c r="D159" s="80">
        <v>0</v>
      </c>
      <c r="E159" s="80">
        <v>0</v>
      </c>
      <c r="F159" s="81">
        <v>0</v>
      </c>
      <c r="G159" s="81">
        <v>0</v>
      </c>
    </row>
    <row r="160" spans="1:7">
      <c r="A160" s="78" t="s">
        <v>194</v>
      </c>
      <c r="B160" s="125">
        <v>4.9</v>
      </c>
      <c r="C160" s="79">
        <f t="shared" si="2"/>
        <v>3.76</v>
      </c>
      <c r="D160" s="80">
        <v>0</v>
      </c>
      <c r="E160" s="80">
        <v>0</v>
      </c>
      <c r="F160" s="81">
        <v>0</v>
      </c>
      <c r="G160" s="81">
        <v>0</v>
      </c>
    </row>
    <row r="161" spans="1:7">
      <c r="A161" s="78" t="s">
        <v>195</v>
      </c>
      <c r="B161" s="125">
        <v>5.6</v>
      </c>
      <c r="C161" s="79">
        <f t="shared" si="2"/>
        <v>4.9</v>
      </c>
      <c r="D161" s="80">
        <v>0</v>
      </c>
      <c r="E161" s="80">
        <v>0</v>
      </c>
      <c r="F161" s="81">
        <v>0.0106857142857143</v>
      </c>
      <c r="G161" s="81">
        <v>0</v>
      </c>
    </row>
    <row r="162" spans="1:7">
      <c r="A162" s="78" t="s">
        <v>196</v>
      </c>
      <c r="B162" s="125">
        <v>6.82</v>
      </c>
      <c r="C162" s="79">
        <f t="shared" si="2"/>
        <v>5.6</v>
      </c>
      <c r="D162" s="80">
        <v>0.160527859237537</v>
      </c>
      <c r="E162" s="80">
        <v>0.0160527859237537</v>
      </c>
      <c r="F162" s="81">
        <v>0.0266627565982405</v>
      </c>
      <c r="G162" s="81">
        <v>0</v>
      </c>
    </row>
    <row r="163" spans="1:7">
      <c r="A163" s="78" t="s">
        <v>197</v>
      </c>
      <c r="B163" s="125">
        <v>8.07</v>
      </c>
      <c r="C163" s="79">
        <f t="shared" si="2"/>
        <v>6.82</v>
      </c>
      <c r="D163" s="80">
        <v>0.290557620817844</v>
      </c>
      <c r="E163" s="80">
        <v>0.0290557620817844</v>
      </c>
      <c r="F163" s="81">
        <v>0.0380223048327138</v>
      </c>
      <c r="G163" s="81">
        <v>0</v>
      </c>
    </row>
    <row r="164" spans="1:7">
      <c r="A164" s="78" t="s">
        <v>198</v>
      </c>
      <c r="B164" s="125">
        <v>9.36</v>
      </c>
      <c r="C164" s="79">
        <f t="shared" si="2"/>
        <v>8.07</v>
      </c>
      <c r="D164" s="80">
        <v>0.388333333333333</v>
      </c>
      <c r="E164" s="80">
        <v>0.0388333333333334</v>
      </c>
      <c r="F164" s="81">
        <v>0.0793846153846154</v>
      </c>
      <c r="G164" s="81">
        <v>0</v>
      </c>
    </row>
    <row r="165" spans="1:7">
      <c r="A165" s="78" t="s">
        <v>199</v>
      </c>
      <c r="B165" s="125">
        <v>10.08</v>
      </c>
      <c r="C165" s="79">
        <f t="shared" si="2"/>
        <v>9.36</v>
      </c>
      <c r="D165" s="80">
        <v>0.43202380952381</v>
      </c>
      <c r="E165" s="80">
        <v>0.0592142857142858</v>
      </c>
      <c r="F165" s="81">
        <v>0.102285714285714</v>
      </c>
      <c r="G165" s="81">
        <v>0</v>
      </c>
    </row>
    <row r="166" spans="1:7">
      <c r="A166" s="78" t="s">
        <v>200</v>
      </c>
      <c r="B166" s="125">
        <v>10.83</v>
      </c>
      <c r="C166" s="79">
        <f t="shared" si="2"/>
        <v>10.08</v>
      </c>
      <c r="D166" s="80">
        <v>0.471357340720222</v>
      </c>
      <c r="E166" s="80">
        <v>0.082814404432133</v>
      </c>
      <c r="F166" s="81">
        <v>0.122903047091413</v>
      </c>
      <c r="G166" s="81">
        <v>0.000886426592797785</v>
      </c>
    </row>
    <row r="167" spans="1:7">
      <c r="A167" s="78" t="s">
        <v>201</v>
      </c>
      <c r="B167" s="125">
        <v>11.39</v>
      </c>
      <c r="C167" s="79">
        <f t="shared" si="2"/>
        <v>10.83</v>
      </c>
      <c r="D167" s="80">
        <v>0.497348551360843</v>
      </c>
      <c r="E167" s="80">
        <v>0.0984091308165058</v>
      </c>
      <c r="F167" s="81">
        <v>0.136526777875329</v>
      </c>
      <c r="G167" s="81">
        <v>0.00575943810359965</v>
      </c>
    </row>
    <row r="168" spans="1:7">
      <c r="A168" s="78" t="s">
        <v>202</v>
      </c>
      <c r="B168" s="125">
        <v>12.26</v>
      </c>
      <c r="C168" s="79">
        <f t="shared" si="2"/>
        <v>11.39</v>
      </c>
      <c r="D168" s="80">
        <v>0.533017944535074</v>
      </c>
      <c r="E168" s="80">
        <v>0.119810766721044</v>
      </c>
      <c r="F168" s="81">
        <v>0.155223491027732</v>
      </c>
      <c r="G168" s="81">
        <v>0.0124469820554649</v>
      </c>
    </row>
    <row r="169" spans="1:7">
      <c r="A169" s="78" t="s">
        <v>203</v>
      </c>
      <c r="B169" s="125">
        <v>13.21</v>
      </c>
      <c r="C169" s="79">
        <f t="shared" si="2"/>
        <v>12.26</v>
      </c>
      <c r="D169" s="80">
        <v>0.56660105980318</v>
      </c>
      <c r="E169" s="80">
        <v>0.139960635881908</v>
      </c>
      <c r="F169" s="81">
        <v>0.172826646479939</v>
      </c>
      <c r="G169" s="81">
        <v>0.0187433762301287</v>
      </c>
    </row>
    <row r="170" spans="1:7">
      <c r="A170" s="78" t="s">
        <v>204</v>
      </c>
      <c r="B170" s="125">
        <v>13.85</v>
      </c>
      <c r="C170" s="79">
        <f t="shared" si="2"/>
        <v>13.21</v>
      </c>
      <c r="D170" s="80">
        <v>0.586628158844765</v>
      </c>
      <c r="E170" s="80">
        <v>0.151976895306859</v>
      </c>
      <c r="F170" s="81">
        <v>0.183324187725632</v>
      </c>
      <c r="G170" s="81">
        <v>0.0224981949458484</v>
      </c>
    </row>
    <row r="171" spans="1:7">
      <c r="A171" s="78" t="s">
        <v>205</v>
      </c>
      <c r="B171" s="125">
        <v>14.79</v>
      </c>
      <c r="C171" s="79">
        <f t="shared" si="2"/>
        <v>13.85</v>
      </c>
      <c r="D171" s="80">
        <v>0.61290060851927</v>
      </c>
      <c r="E171" s="80">
        <v>0.167740365111562</v>
      </c>
      <c r="F171" s="81">
        <v>0.197095334685598</v>
      </c>
      <c r="G171" s="81">
        <v>0.0274239350912779</v>
      </c>
    </row>
    <row r="172" spans="1:7">
      <c r="A172" s="78" t="s">
        <v>206</v>
      </c>
      <c r="B172" s="125">
        <v>15.37</v>
      </c>
      <c r="C172" s="79">
        <f t="shared" si="2"/>
        <v>14.79</v>
      </c>
      <c r="D172" s="80">
        <v>0.62750813272609</v>
      </c>
      <c r="E172" s="80">
        <v>0.176504879635654</v>
      </c>
      <c r="F172" s="81">
        <v>0.204752114508783</v>
      </c>
      <c r="G172" s="81">
        <v>0.0301626545217957</v>
      </c>
    </row>
    <row r="173" spans="1:7">
      <c r="A173" s="78" t="s">
        <v>207</v>
      </c>
      <c r="B173" s="125">
        <v>16.68</v>
      </c>
      <c r="C173" s="79">
        <f t="shared" si="2"/>
        <v>15.37</v>
      </c>
      <c r="D173" s="80">
        <v>0.656762589928058</v>
      </c>
      <c r="E173" s="80">
        <v>0.194057553956835</v>
      </c>
      <c r="F173" s="81">
        <v>0.220086330935252</v>
      </c>
      <c r="G173" s="81">
        <v>0.0356474820143885</v>
      </c>
    </row>
    <row r="174" spans="1:7">
      <c r="A174" s="78" t="s">
        <v>208</v>
      </c>
      <c r="B174" s="125">
        <v>17.63</v>
      </c>
      <c r="C174" s="79">
        <f t="shared" si="2"/>
        <v>16.68</v>
      </c>
      <c r="D174" s="80">
        <v>0.675258082813386</v>
      </c>
      <c r="E174" s="80">
        <v>0.205154849688032</v>
      </c>
      <c r="F174" s="81">
        <v>0.229781055019853</v>
      </c>
      <c r="G174" s="81">
        <v>0.0391151446398185</v>
      </c>
    </row>
    <row r="175" spans="1:7">
      <c r="A175" s="78" t="s">
        <v>209</v>
      </c>
      <c r="B175" s="125">
        <v>18.51</v>
      </c>
      <c r="C175" s="79">
        <f t="shared" si="2"/>
        <v>17.63</v>
      </c>
      <c r="D175" s="80">
        <v>0.690696920583469</v>
      </c>
      <c r="E175" s="80">
        <v>0.214418152350081</v>
      </c>
      <c r="F175" s="81">
        <v>0.23787358184765</v>
      </c>
      <c r="G175" s="81">
        <v>0.0520583468395462</v>
      </c>
    </row>
    <row r="176" spans="1:7">
      <c r="A176" s="78" t="s">
        <v>210</v>
      </c>
      <c r="B176" s="125">
        <v>19.67</v>
      </c>
      <c r="C176" s="79">
        <f t="shared" si="2"/>
        <v>18.51</v>
      </c>
      <c r="D176" s="80">
        <v>0.708937468225725</v>
      </c>
      <c r="E176" s="80">
        <v>0.225362480935435</v>
      </c>
      <c r="F176" s="81">
        <v>0.247434672089476</v>
      </c>
      <c r="G176" s="81">
        <v>0.0725775292323335</v>
      </c>
    </row>
    <row r="177" spans="1:7">
      <c r="A177" s="78" t="s">
        <v>211</v>
      </c>
      <c r="B177" s="125">
        <v>21.92</v>
      </c>
      <c r="C177" s="79">
        <f t="shared" si="2"/>
        <v>19.67</v>
      </c>
      <c r="D177" s="80">
        <v>0.738813868613139</v>
      </c>
      <c r="E177" s="80">
        <v>0.243288321167883</v>
      </c>
      <c r="F177" s="81">
        <v>0.263094890510949</v>
      </c>
      <c r="G177" s="81">
        <v>0.106186131386861</v>
      </c>
    </row>
    <row r="178" spans="1:7">
      <c r="A178" s="78" t="s">
        <v>212</v>
      </c>
      <c r="B178" s="125">
        <v>23.04</v>
      </c>
      <c r="C178" s="79">
        <f t="shared" si="2"/>
        <v>21.92</v>
      </c>
      <c r="D178" s="80">
        <v>0.751510416666667</v>
      </c>
      <c r="E178" s="80">
        <v>0.25090625</v>
      </c>
      <c r="F178" s="81">
        <v>0.26975</v>
      </c>
      <c r="G178" s="81">
        <v>0.12046875</v>
      </c>
    </row>
    <row r="179" spans="1:7">
      <c r="A179" s="78" t="s">
        <v>213</v>
      </c>
      <c r="B179" s="125">
        <v>24.21</v>
      </c>
      <c r="C179" s="79">
        <f t="shared" si="2"/>
        <v>23.04</v>
      </c>
      <c r="D179" s="80">
        <v>0.763519206939281</v>
      </c>
      <c r="E179" s="80">
        <v>0.258111524163569</v>
      </c>
      <c r="F179" s="81">
        <v>0.276044609665428</v>
      </c>
      <c r="G179" s="81">
        <v>0.133977695167286</v>
      </c>
    </row>
    <row r="180" spans="1:7">
      <c r="A180" s="78" t="s">
        <v>214</v>
      </c>
      <c r="B180" s="125">
        <v>26.09</v>
      </c>
      <c r="C180" s="79">
        <f t="shared" si="2"/>
        <v>24.21</v>
      </c>
      <c r="D180" s="80">
        <v>0.780559601379839</v>
      </c>
      <c r="E180" s="80">
        <v>0.268335760827903</v>
      </c>
      <c r="F180" s="81">
        <v>0.284976619394404</v>
      </c>
      <c r="G180" s="81">
        <v>0.153146799540054</v>
      </c>
    </row>
    <row r="181" spans="1:7">
      <c r="A181" s="78" t="s">
        <v>215</v>
      </c>
      <c r="B181" s="125">
        <v>27.83</v>
      </c>
      <c r="C181" s="79">
        <f t="shared" si="2"/>
        <v>26.09</v>
      </c>
      <c r="D181" s="80">
        <v>0.794279554437657</v>
      </c>
      <c r="E181" s="80">
        <v>0.276567732662594</v>
      </c>
      <c r="F181" s="81">
        <v>0.292168163851958</v>
      </c>
      <c r="G181" s="81">
        <v>0.168580668343514</v>
      </c>
    </row>
    <row r="182" spans="1:7">
      <c r="A182" s="78" t="s">
        <v>216</v>
      </c>
      <c r="B182" s="125">
        <v>29.3</v>
      </c>
      <c r="C182" s="79">
        <f t="shared" si="2"/>
        <v>27.83</v>
      </c>
      <c r="D182" s="80">
        <v>0.804600682593857</v>
      </c>
      <c r="E182" s="80">
        <v>0.282760409556314</v>
      </c>
      <c r="F182" s="81">
        <v>0.297578156996587</v>
      </c>
      <c r="G182" s="81">
        <v>0.180191126279864</v>
      </c>
    </row>
    <row r="183" spans="1:7">
      <c r="A183" s="78" t="s">
        <v>217</v>
      </c>
      <c r="B183" s="125">
        <v>30.3</v>
      </c>
      <c r="C183" s="79">
        <f t="shared" si="2"/>
        <v>29.3</v>
      </c>
      <c r="D183" s="80">
        <v>0.811049504950495</v>
      </c>
      <c r="E183" s="80">
        <v>0.286629702970297</v>
      </c>
      <c r="F183" s="81">
        <v>0.300958415841584</v>
      </c>
      <c r="G183" s="81">
        <v>0.187445544554455</v>
      </c>
    </row>
    <row r="184" spans="1:7">
      <c r="A184" s="78" t="s">
        <v>218</v>
      </c>
      <c r="B184" s="125">
        <v>31.33</v>
      </c>
      <c r="C184" s="79">
        <f t="shared" si="2"/>
        <v>30.3</v>
      </c>
      <c r="D184" s="80">
        <v>0.817261410788382</v>
      </c>
      <c r="E184" s="80">
        <v>0.290356846473029</v>
      </c>
      <c r="F184" s="81">
        <v>0.304214490903288</v>
      </c>
      <c r="G184" s="81">
        <v>0.19443345036706</v>
      </c>
    </row>
    <row r="185" spans="1:7">
      <c r="A185" s="78" t="s">
        <v>219</v>
      </c>
      <c r="B185" s="125">
        <v>32.93</v>
      </c>
      <c r="C185" s="79">
        <f t="shared" si="2"/>
        <v>31.33</v>
      </c>
      <c r="D185" s="80">
        <v>0.826140297600972</v>
      </c>
      <c r="E185" s="80">
        <v>0.295684178560583</v>
      </c>
      <c r="F185" s="81">
        <v>0.308868508958397</v>
      </c>
      <c r="G185" s="81">
        <v>0.204421500151837</v>
      </c>
    </row>
    <row r="186" spans="1:7">
      <c r="A186" s="78" t="s">
        <v>220</v>
      </c>
      <c r="B186" s="125">
        <v>37.18</v>
      </c>
      <c r="C186" s="79">
        <f t="shared" si="2"/>
        <v>32.93</v>
      </c>
      <c r="D186" s="80">
        <v>0.846013986013986</v>
      </c>
      <c r="E186" s="80">
        <v>0.307608391608392</v>
      </c>
      <c r="F186" s="81">
        <v>0.319285637439484</v>
      </c>
      <c r="G186" s="81">
        <v>0.226777837547068</v>
      </c>
    </row>
    <row r="187" spans="1:7">
      <c r="A187" s="78" t="s">
        <v>221</v>
      </c>
      <c r="B187" s="136">
        <v>40.46</v>
      </c>
      <c r="C187" s="79">
        <f t="shared" si="2"/>
        <v>37.18</v>
      </c>
      <c r="D187" s="80">
        <v>0.858497281265447</v>
      </c>
      <c r="E187" s="80">
        <v>0.315098368759268</v>
      </c>
      <c r="F187" s="81">
        <v>0.32582896688087</v>
      </c>
      <c r="G187" s="81">
        <v>0.240820563519525</v>
      </c>
    </row>
    <row r="188" spans="1:7">
      <c r="A188" s="78" t="s">
        <v>221</v>
      </c>
      <c r="B188" s="78" t="s">
        <v>236</v>
      </c>
      <c r="C188" s="79">
        <f t="shared" si="2"/>
        <v>40.46</v>
      </c>
      <c r="D188" s="117"/>
      <c r="E188" s="83"/>
      <c r="F188" s="84"/>
      <c r="G188" s="84"/>
    </row>
    <row r="189" ht="15.75" spans="1:7">
      <c r="A189" s="78"/>
      <c r="B189" s="78"/>
      <c r="C189" s="116"/>
      <c r="D189" s="117"/>
      <c r="E189" s="85">
        <v>0.0998942753727807</v>
      </c>
      <c r="F189" s="86">
        <v>0.112152736102332</v>
      </c>
      <c r="G189" s="86">
        <v>0.0446753915424905</v>
      </c>
    </row>
    <row r="190" ht="26.25" customHeight="1" spans="1:7">
      <c r="A190" s="87" t="s">
        <v>233</v>
      </c>
      <c r="B190" s="134">
        <v>17.89</v>
      </c>
      <c r="C190" s="116"/>
      <c r="D190" s="117"/>
      <c r="E190" s="119">
        <v>9.542</v>
      </c>
      <c r="F190" s="90">
        <v>8.336</v>
      </c>
      <c r="G190" s="120">
        <v>17.89</v>
      </c>
    </row>
    <row r="191" ht="26.65" customHeight="1" spans="1:7">
      <c r="A191" s="87" t="s">
        <v>224</v>
      </c>
      <c r="B191" s="93">
        <v>11.35</v>
      </c>
      <c r="C191" s="116"/>
      <c r="D191" s="83"/>
      <c r="E191" s="83"/>
      <c r="F191" s="84"/>
      <c r="G191" s="84"/>
    </row>
    <row r="192" ht="37.15" customHeight="1" spans="1:7">
      <c r="A192" s="106" t="s">
        <v>225</v>
      </c>
      <c r="B192" s="93">
        <v>6.81</v>
      </c>
      <c r="C192" s="116"/>
      <c r="D192" s="83"/>
      <c r="E192" s="83">
        <v>5.7252</v>
      </c>
      <c r="F192" s="84">
        <v>5.0016</v>
      </c>
      <c r="G192" s="84">
        <v>10.734</v>
      </c>
    </row>
    <row r="195" spans="1:3">
      <c r="A195" s="531" t="s">
        <v>226</v>
      </c>
      <c r="B195" s="95">
        <f>AVERAGE(B143:B182)</f>
        <v>9.542</v>
      </c>
      <c r="C195" s="95"/>
    </row>
    <row r="196" spans="1:3">
      <c r="A196" s="531" t="s">
        <v>227</v>
      </c>
      <c r="B196" s="96">
        <f>AVERAGE(B148:B177)</f>
        <v>8.336</v>
      </c>
      <c r="C196" s="96"/>
    </row>
    <row r="197" spans="1:3">
      <c r="A197" s="531" t="s">
        <v>228</v>
      </c>
      <c r="B197" s="96">
        <f>AVERAGE(B154:B172)</f>
        <v>7.97473684210526</v>
      </c>
      <c r="C197" s="96"/>
    </row>
    <row r="201" spans="3:3">
      <c r="C201" s="83"/>
    </row>
    <row r="202" spans="3:3">
      <c r="C202" s="83"/>
    </row>
    <row r="203" spans="3:3">
      <c r="C203" s="76"/>
    </row>
    <row r="204" spans="3:3">
      <c r="C204" s="89">
        <v>0</v>
      </c>
    </row>
    <row r="205" spans="3:3">
      <c r="C205" s="79">
        <f>B204</f>
        <v>0</v>
      </c>
    </row>
    <row r="206" spans="3:3">
      <c r="C206" s="79">
        <f t="shared" ref="C206:C254" si="3">B205</f>
        <v>0</v>
      </c>
    </row>
    <row r="207" spans="3:3">
      <c r="C207" s="79">
        <f t="shared" si="3"/>
        <v>0</v>
      </c>
    </row>
    <row r="208" spans="3:3">
      <c r="C208" s="79">
        <f t="shared" si="3"/>
        <v>0</v>
      </c>
    </row>
    <row r="209" spans="3:3">
      <c r="C209" s="79">
        <f t="shared" si="3"/>
        <v>0</v>
      </c>
    </row>
    <row r="210" spans="3:3">
      <c r="C210" s="79">
        <f t="shared" si="3"/>
        <v>0</v>
      </c>
    </row>
    <row r="211" spans="3:3">
      <c r="C211" s="79">
        <f t="shared" si="3"/>
        <v>0</v>
      </c>
    </row>
    <row r="212" spans="3:3">
      <c r="C212" s="79">
        <f t="shared" si="3"/>
        <v>0</v>
      </c>
    </row>
    <row r="213" spans="3:3">
      <c r="C213" s="79">
        <f t="shared" si="3"/>
        <v>0</v>
      </c>
    </row>
    <row r="214" spans="3:3">
      <c r="C214" s="79">
        <f t="shared" si="3"/>
        <v>0</v>
      </c>
    </row>
    <row r="215" spans="3:3">
      <c r="C215" s="79">
        <f t="shared" si="3"/>
        <v>0</v>
      </c>
    </row>
    <row r="216" spans="3:3">
      <c r="C216" s="79">
        <f t="shared" si="3"/>
        <v>0</v>
      </c>
    </row>
    <row r="217" spans="3:3">
      <c r="C217" s="79">
        <f t="shared" si="3"/>
        <v>0</v>
      </c>
    </row>
    <row r="218" spans="3:3">
      <c r="C218" s="79">
        <f t="shared" si="3"/>
        <v>0</v>
      </c>
    </row>
    <row r="219" spans="3:3">
      <c r="C219" s="79">
        <f t="shared" si="3"/>
        <v>0</v>
      </c>
    </row>
    <row r="220" spans="3:3">
      <c r="C220" s="79">
        <f t="shared" si="3"/>
        <v>0</v>
      </c>
    </row>
    <row r="221" spans="3:3">
      <c r="C221" s="79">
        <f t="shared" si="3"/>
        <v>0</v>
      </c>
    </row>
    <row r="222" spans="3:3">
      <c r="C222" s="79">
        <f t="shared" si="3"/>
        <v>0</v>
      </c>
    </row>
    <row r="223" spans="3:3">
      <c r="C223" s="79">
        <f t="shared" si="3"/>
        <v>0</v>
      </c>
    </row>
    <row r="224" spans="3:3">
      <c r="C224" s="79">
        <f t="shared" si="3"/>
        <v>0</v>
      </c>
    </row>
    <row r="225" spans="3:3">
      <c r="C225" s="79">
        <f t="shared" si="3"/>
        <v>0</v>
      </c>
    </row>
    <row r="226" spans="3:3">
      <c r="C226" s="79">
        <f t="shared" si="3"/>
        <v>0</v>
      </c>
    </row>
    <row r="227" spans="3:3">
      <c r="C227" s="79">
        <f t="shared" si="3"/>
        <v>0</v>
      </c>
    </row>
    <row r="228" spans="3:3">
      <c r="C228" s="79">
        <f t="shared" si="3"/>
        <v>0</v>
      </c>
    </row>
    <row r="229" spans="3:3">
      <c r="C229" s="79">
        <f t="shared" si="3"/>
        <v>0</v>
      </c>
    </row>
    <row r="230" spans="3:3">
      <c r="C230" s="79">
        <f t="shared" si="3"/>
        <v>0</v>
      </c>
    </row>
    <row r="231" spans="3:3">
      <c r="C231" s="79">
        <f t="shared" si="3"/>
        <v>0</v>
      </c>
    </row>
    <row r="232" spans="3:3">
      <c r="C232" s="79">
        <f t="shared" si="3"/>
        <v>0</v>
      </c>
    </row>
    <row r="233" spans="3:3">
      <c r="C233" s="79">
        <f t="shared" si="3"/>
        <v>0</v>
      </c>
    </row>
    <row r="234" spans="3:3">
      <c r="C234" s="79">
        <f t="shared" si="3"/>
        <v>0</v>
      </c>
    </row>
    <row r="235" spans="3:3">
      <c r="C235" s="79">
        <f t="shared" si="3"/>
        <v>0</v>
      </c>
    </row>
    <row r="236" spans="3:3">
      <c r="C236" s="79">
        <f t="shared" si="3"/>
        <v>0</v>
      </c>
    </row>
    <row r="237" spans="3:3">
      <c r="C237" s="79">
        <f t="shared" si="3"/>
        <v>0</v>
      </c>
    </row>
    <row r="238" spans="3:3">
      <c r="C238" s="79">
        <f t="shared" si="3"/>
        <v>0</v>
      </c>
    </row>
    <row r="239" spans="3:3">
      <c r="C239" s="79">
        <f t="shared" si="3"/>
        <v>0</v>
      </c>
    </row>
    <row r="240" spans="3:3">
      <c r="C240" s="79">
        <f t="shared" si="3"/>
        <v>0</v>
      </c>
    </row>
    <row r="241" spans="3:3">
      <c r="C241" s="79">
        <f t="shared" si="3"/>
        <v>0</v>
      </c>
    </row>
    <row r="242" spans="3:3">
      <c r="C242" s="79">
        <f t="shared" si="3"/>
        <v>0</v>
      </c>
    </row>
    <row r="243" spans="3:3">
      <c r="C243" s="79">
        <f t="shared" si="3"/>
        <v>0</v>
      </c>
    </row>
    <row r="244" spans="3:3">
      <c r="C244" s="79">
        <f t="shared" si="3"/>
        <v>0</v>
      </c>
    </row>
    <row r="245" spans="3:3">
      <c r="C245" s="79">
        <f t="shared" si="3"/>
        <v>0</v>
      </c>
    </row>
    <row r="246" spans="3:3">
      <c r="C246" s="79">
        <f t="shared" si="3"/>
        <v>0</v>
      </c>
    </row>
    <row r="247" spans="3:3">
      <c r="C247" s="79">
        <f t="shared" si="3"/>
        <v>0</v>
      </c>
    </row>
    <row r="248" spans="3:3">
      <c r="C248" s="79">
        <f t="shared" si="3"/>
        <v>0</v>
      </c>
    </row>
    <row r="249" spans="3:3">
      <c r="C249" s="79">
        <f t="shared" si="3"/>
        <v>0</v>
      </c>
    </row>
    <row r="250" spans="3:3">
      <c r="C250" s="79">
        <f t="shared" si="3"/>
        <v>0</v>
      </c>
    </row>
    <row r="251" spans="3:3">
      <c r="C251" s="79">
        <f t="shared" si="3"/>
        <v>0</v>
      </c>
    </row>
    <row r="252" spans="3:3">
      <c r="C252" s="79">
        <f t="shared" si="3"/>
        <v>0</v>
      </c>
    </row>
    <row r="253" spans="3:3">
      <c r="C253" s="79">
        <f t="shared" si="3"/>
        <v>0</v>
      </c>
    </row>
    <row r="254" spans="3:3">
      <c r="C254" s="79">
        <f t="shared" si="3"/>
        <v>0</v>
      </c>
    </row>
    <row r="255" spans="3:3">
      <c r="C255" s="78"/>
    </row>
    <row r="256" spans="3:3">
      <c r="C256" s="78"/>
    </row>
    <row r="257" spans="3:3">
      <c r="C257" s="78"/>
    </row>
    <row r="258" spans="3:3">
      <c r="C258" s="78"/>
    </row>
    <row r="261" spans="3:3">
      <c r="C261" s="95"/>
    </row>
    <row r="262" spans="3:3">
      <c r="C262" s="96"/>
    </row>
    <row r="263" spans="3:3">
      <c r="C263" s="96"/>
    </row>
    <row r="267" ht="15.75" spans="3:3">
      <c r="C267" s="130"/>
    </row>
    <row r="270" spans="3:3">
      <c r="C270">
        <v>0</v>
      </c>
    </row>
    <row r="271" spans="3:3">
      <c r="C271" s="79">
        <f>B270</f>
        <v>0</v>
      </c>
    </row>
    <row r="272" spans="3:3">
      <c r="C272" s="79">
        <f t="shared" ref="C272:C320" si="4">B271</f>
        <v>0</v>
      </c>
    </row>
    <row r="273" spans="3:3">
      <c r="C273" s="79">
        <f t="shared" si="4"/>
        <v>0</v>
      </c>
    </row>
    <row r="274" spans="3:3">
      <c r="C274" s="79">
        <f t="shared" si="4"/>
        <v>0</v>
      </c>
    </row>
    <row r="275" spans="3:3">
      <c r="C275" s="79">
        <f t="shared" si="4"/>
        <v>0</v>
      </c>
    </row>
    <row r="276" spans="3:3">
      <c r="C276" s="79">
        <f t="shared" si="4"/>
        <v>0</v>
      </c>
    </row>
    <row r="277" spans="3:3">
      <c r="C277" s="79">
        <f t="shared" si="4"/>
        <v>0</v>
      </c>
    </row>
    <row r="278" spans="3:3">
      <c r="C278" s="79">
        <f t="shared" si="4"/>
        <v>0</v>
      </c>
    </row>
    <row r="279" spans="3:3">
      <c r="C279" s="79">
        <f t="shared" si="4"/>
        <v>0</v>
      </c>
    </row>
    <row r="280" spans="3:3">
      <c r="C280" s="79">
        <f t="shared" si="4"/>
        <v>0</v>
      </c>
    </row>
    <row r="281" spans="3:3">
      <c r="C281" s="79">
        <f t="shared" si="4"/>
        <v>0</v>
      </c>
    </row>
    <row r="282" spans="3:3">
      <c r="C282" s="79">
        <f t="shared" si="4"/>
        <v>0</v>
      </c>
    </row>
    <row r="283" spans="3:3">
      <c r="C283" s="79">
        <f t="shared" si="4"/>
        <v>0</v>
      </c>
    </row>
    <row r="284" spans="3:3">
      <c r="C284" s="79">
        <f t="shared" si="4"/>
        <v>0</v>
      </c>
    </row>
    <row r="285" spans="3:3">
      <c r="C285" s="79">
        <f t="shared" si="4"/>
        <v>0</v>
      </c>
    </row>
    <row r="286" spans="3:3">
      <c r="C286" s="79">
        <f t="shared" si="4"/>
        <v>0</v>
      </c>
    </row>
    <row r="287" spans="3:3">
      <c r="C287" s="79">
        <f t="shared" si="4"/>
        <v>0</v>
      </c>
    </row>
    <row r="288" spans="3:3">
      <c r="C288" s="79">
        <f t="shared" si="4"/>
        <v>0</v>
      </c>
    </row>
    <row r="289" spans="3:3">
      <c r="C289" s="79">
        <f t="shared" si="4"/>
        <v>0</v>
      </c>
    </row>
    <row r="290" spans="3:3">
      <c r="C290" s="79">
        <f t="shared" si="4"/>
        <v>0</v>
      </c>
    </row>
    <row r="291" spans="3:3">
      <c r="C291" s="79">
        <f t="shared" si="4"/>
        <v>0</v>
      </c>
    </row>
    <row r="292" spans="3:3">
      <c r="C292" s="79">
        <f t="shared" si="4"/>
        <v>0</v>
      </c>
    </row>
    <row r="293" spans="3:3">
      <c r="C293" s="79">
        <f t="shared" si="4"/>
        <v>0</v>
      </c>
    </row>
    <row r="294" spans="3:3">
      <c r="C294" s="79">
        <f t="shared" si="4"/>
        <v>0</v>
      </c>
    </row>
    <row r="295" spans="3:3">
      <c r="C295" s="79">
        <f t="shared" si="4"/>
        <v>0</v>
      </c>
    </row>
    <row r="296" spans="3:3">
      <c r="C296" s="79">
        <f t="shared" si="4"/>
        <v>0</v>
      </c>
    </row>
    <row r="297" spans="3:3">
      <c r="C297" s="79">
        <f t="shared" si="4"/>
        <v>0</v>
      </c>
    </row>
    <row r="298" spans="3:3">
      <c r="C298" s="79">
        <f t="shared" si="4"/>
        <v>0</v>
      </c>
    </row>
    <row r="299" spans="3:3">
      <c r="C299" s="79">
        <f t="shared" si="4"/>
        <v>0</v>
      </c>
    </row>
    <row r="300" spans="3:3">
      <c r="C300" s="79">
        <f t="shared" si="4"/>
        <v>0</v>
      </c>
    </row>
    <row r="301" spans="3:3">
      <c r="C301" s="79">
        <f t="shared" si="4"/>
        <v>0</v>
      </c>
    </row>
    <row r="302" spans="3:3">
      <c r="C302" s="79">
        <f t="shared" si="4"/>
        <v>0</v>
      </c>
    </row>
    <row r="303" spans="3:3">
      <c r="C303" s="79">
        <f t="shared" si="4"/>
        <v>0</v>
      </c>
    </row>
    <row r="304" spans="3:3">
      <c r="C304" s="79">
        <f t="shared" si="4"/>
        <v>0</v>
      </c>
    </row>
    <row r="305" spans="3:3">
      <c r="C305" s="79">
        <f t="shared" si="4"/>
        <v>0</v>
      </c>
    </row>
    <row r="306" spans="3:3">
      <c r="C306" s="79">
        <f t="shared" si="4"/>
        <v>0</v>
      </c>
    </row>
    <row r="307" spans="3:3">
      <c r="C307" s="79">
        <f t="shared" si="4"/>
        <v>0</v>
      </c>
    </row>
    <row r="308" spans="3:3">
      <c r="C308" s="79">
        <f t="shared" si="4"/>
        <v>0</v>
      </c>
    </row>
    <row r="309" spans="3:3">
      <c r="C309" s="79">
        <f t="shared" si="4"/>
        <v>0</v>
      </c>
    </row>
    <row r="310" spans="3:3">
      <c r="C310" s="79">
        <f t="shared" si="4"/>
        <v>0</v>
      </c>
    </row>
    <row r="311" spans="3:3">
      <c r="C311" s="79">
        <f t="shared" si="4"/>
        <v>0</v>
      </c>
    </row>
    <row r="312" spans="3:3">
      <c r="C312" s="79">
        <f t="shared" si="4"/>
        <v>0</v>
      </c>
    </row>
    <row r="313" spans="3:3">
      <c r="C313" s="79">
        <f t="shared" si="4"/>
        <v>0</v>
      </c>
    </row>
    <row r="314" spans="3:3">
      <c r="C314" s="79">
        <f t="shared" si="4"/>
        <v>0</v>
      </c>
    </row>
    <row r="315" spans="3:3">
      <c r="C315" s="79">
        <f t="shared" si="4"/>
        <v>0</v>
      </c>
    </row>
    <row r="316" spans="3:3">
      <c r="C316" s="79">
        <f t="shared" si="4"/>
        <v>0</v>
      </c>
    </row>
    <row r="317" spans="3:3">
      <c r="C317" s="79">
        <f t="shared" si="4"/>
        <v>0</v>
      </c>
    </row>
    <row r="318" spans="3:3">
      <c r="C318" s="79">
        <f t="shared" si="4"/>
        <v>0</v>
      </c>
    </row>
    <row r="319" spans="3:3">
      <c r="C319" s="79">
        <f t="shared" si="4"/>
        <v>0</v>
      </c>
    </row>
    <row r="320" spans="3:3">
      <c r="C320" s="79">
        <f t="shared" si="4"/>
        <v>0</v>
      </c>
    </row>
    <row r="336" ht="15.75" spans="3:3">
      <c r="C336" s="131"/>
    </row>
    <row r="337" spans="3:3">
      <c r="C337">
        <v>0</v>
      </c>
    </row>
    <row r="338" spans="3:3">
      <c r="C338" s="79">
        <f>B337</f>
        <v>0</v>
      </c>
    </row>
    <row r="339" spans="3:3">
      <c r="C339" s="79">
        <f t="shared" ref="C339:C387" si="5">B338</f>
        <v>0</v>
      </c>
    </row>
    <row r="340" spans="3:3">
      <c r="C340" s="79">
        <f t="shared" si="5"/>
        <v>0</v>
      </c>
    </row>
    <row r="341" spans="3:3">
      <c r="C341" s="79">
        <f t="shared" si="5"/>
        <v>0</v>
      </c>
    </row>
    <row r="342" spans="3:3">
      <c r="C342" s="79">
        <f t="shared" si="5"/>
        <v>0</v>
      </c>
    </row>
    <row r="343" spans="3:3">
      <c r="C343" s="79">
        <f t="shared" si="5"/>
        <v>0</v>
      </c>
    </row>
    <row r="344" spans="3:3">
      <c r="C344" s="79">
        <f t="shared" si="5"/>
        <v>0</v>
      </c>
    </row>
    <row r="345" spans="3:3">
      <c r="C345" s="79">
        <f t="shared" si="5"/>
        <v>0</v>
      </c>
    </row>
    <row r="346" spans="3:3">
      <c r="C346" s="79">
        <f t="shared" si="5"/>
        <v>0</v>
      </c>
    </row>
    <row r="347" spans="3:3">
      <c r="C347" s="79">
        <f t="shared" si="5"/>
        <v>0</v>
      </c>
    </row>
    <row r="348" spans="3:3">
      <c r="C348" s="79">
        <f t="shared" si="5"/>
        <v>0</v>
      </c>
    </row>
    <row r="349" spans="3:3">
      <c r="C349" s="79">
        <f t="shared" si="5"/>
        <v>0</v>
      </c>
    </row>
    <row r="350" spans="3:3">
      <c r="C350" s="79">
        <f t="shared" si="5"/>
        <v>0</v>
      </c>
    </row>
    <row r="351" spans="3:3">
      <c r="C351" s="79">
        <f t="shared" si="5"/>
        <v>0</v>
      </c>
    </row>
    <row r="352" spans="3:3">
      <c r="C352" s="79">
        <f t="shared" si="5"/>
        <v>0</v>
      </c>
    </row>
    <row r="353" spans="3:3">
      <c r="C353" s="79">
        <f t="shared" si="5"/>
        <v>0</v>
      </c>
    </row>
    <row r="354" spans="3:3">
      <c r="C354" s="79">
        <f t="shared" si="5"/>
        <v>0</v>
      </c>
    </row>
    <row r="355" spans="3:3">
      <c r="C355" s="79">
        <f t="shared" si="5"/>
        <v>0</v>
      </c>
    </row>
    <row r="356" spans="3:3">
      <c r="C356" s="79">
        <f t="shared" si="5"/>
        <v>0</v>
      </c>
    </row>
    <row r="357" spans="3:3">
      <c r="C357" s="79">
        <f t="shared" si="5"/>
        <v>0</v>
      </c>
    </row>
    <row r="358" spans="3:3">
      <c r="C358" s="79">
        <f t="shared" si="5"/>
        <v>0</v>
      </c>
    </row>
    <row r="359" spans="3:3">
      <c r="C359" s="79">
        <f t="shared" si="5"/>
        <v>0</v>
      </c>
    </row>
    <row r="360" spans="3:3">
      <c r="C360" s="79">
        <f t="shared" si="5"/>
        <v>0</v>
      </c>
    </row>
    <row r="361" spans="3:3">
      <c r="C361" s="79">
        <f t="shared" si="5"/>
        <v>0</v>
      </c>
    </row>
    <row r="362" spans="3:3">
      <c r="C362" s="79">
        <f t="shared" si="5"/>
        <v>0</v>
      </c>
    </row>
    <row r="363" spans="3:3">
      <c r="C363" s="79">
        <f t="shared" si="5"/>
        <v>0</v>
      </c>
    </row>
    <row r="364" spans="3:3">
      <c r="C364" s="79">
        <f t="shared" si="5"/>
        <v>0</v>
      </c>
    </row>
    <row r="365" spans="3:3">
      <c r="C365" s="79">
        <f t="shared" si="5"/>
        <v>0</v>
      </c>
    </row>
    <row r="366" spans="3:3">
      <c r="C366" s="79">
        <f t="shared" si="5"/>
        <v>0</v>
      </c>
    </row>
    <row r="367" spans="3:3">
      <c r="C367" s="79">
        <f t="shared" si="5"/>
        <v>0</v>
      </c>
    </row>
    <row r="368" spans="3:3">
      <c r="C368" s="79">
        <f t="shared" si="5"/>
        <v>0</v>
      </c>
    </row>
    <row r="369" spans="3:3">
      <c r="C369" s="79">
        <f t="shared" si="5"/>
        <v>0</v>
      </c>
    </row>
    <row r="370" spans="3:3">
      <c r="C370" s="79">
        <f t="shared" si="5"/>
        <v>0</v>
      </c>
    </row>
    <row r="371" spans="3:3">
      <c r="C371" s="79">
        <f t="shared" si="5"/>
        <v>0</v>
      </c>
    </row>
    <row r="372" spans="3:3">
      <c r="C372" s="79">
        <f t="shared" si="5"/>
        <v>0</v>
      </c>
    </row>
    <row r="373" spans="3:3">
      <c r="C373" s="79">
        <f t="shared" si="5"/>
        <v>0</v>
      </c>
    </row>
    <row r="374" spans="3:3">
      <c r="C374" s="79">
        <f t="shared" si="5"/>
        <v>0</v>
      </c>
    </row>
    <row r="375" spans="3:3">
      <c r="C375" s="79">
        <f t="shared" si="5"/>
        <v>0</v>
      </c>
    </row>
    <row r="376" spans="3:3">
      <c r="C376" s="79">
        <f t="shared" si="5"/>
        <v>0</v>
      </c>
    </row>
    <row r="377" spans="3:3">
      <c r="C377" s="79">
        <f t="shared" si="5"/>
        <v>0</v>
      </c>
    </row>
    <row r="378" spans="3:3">
      <c r="C378" s="79">
        <f t="shared" si="5"/>
        <v>0</v>
      </c>
    </row>
    <row r="379" spans="3:3">
      <c r="C379" s="79">
        <f t="shared" si="5"/>
        <v>0</v>
      </c>
    </row>
    <row r="380" spans="3:3">
      <c r="C380" s="79">
        <f t="shared" si="5"/>
        <v>0</v>
      </c>
    </row>
    <row r="381" spans="3:3">
      <c r="C381" s="79">
        <f t="shared" si="5"/>
        <v>0</v>
      </c>
    </row>
    <row r="382" spans="3:3">
      <c r="C382" s="79">
        <f t="shared" si="5"/>
        <v>0</v>
      </c>
    </row>
    <row r="383" spans="3:3">
      <c r="C383" s="79">
        <f t="shared" si="5"/>
        <v>0</v>
      </c>
    </row>
    <row r="384" spans="3:3">
      <c r="C384" s="79">
        <f t="shared" si="5"/>
        <v>0</v>
      </c>
    </row>
    <row r="385" spans="3:3">
      <c r="C385" s="79">
        <f t="shared" si="5"/>
        <v>0</v>
      </c>
    </row>
    <row r="386" spans="3:3">
      <c r="C386" s="79">
        <f t="shared" si="5"/>
        <v>0</v>
      </c>
    </row>
    <row r="387" spans="3:3">
      <c r="C387" s="79">
        <f t="shared" si="5"/>
        <v>0</v>
      </c>
    </row>
    <row r="402" spans="3:3">
      <c r="C402">
        <v>0</v>
      </c>
    </row>
    <row r="403" spans="3:3">
      <c r="C403" s="79">
        <f>B402</f>
        <v>0</v>
      </c>
    </row>
    <row r="404" spans="3:3">
      <c r="C404" s="79">
        <f t="shared" ref="C404:C452" si="6">B403</f>
        <v>0</v>
      </c>
    </row>
    <row r="405" spans="3:3">
      <c r="C405" s="79">
        <f t="shared" si="6"/>
        <v>0</v>
      </c>
    </row>
    <row r="406" spans="3:3">
      <c r="C406" s="79">
        <f t="shared" si="6"/>
        <v>0</v>
      </c>
    </row>
    <row r="407" spans="3:3">
      <c r="C407" s="79">
        <f t="shared" si="6"/>
        <v>0</v>
      </c>
    </row>
    <row r="408" spans="3:3">
      <c r="C408" s="79">
        <f t="shared" si="6"/>
        <v>0</v>
      </c>
    </row>
    <row r="409" spans="3:3">
      <c r="C409" s="79">
        <f t="shared" si="6"/>
        <v>0</v>
      </c>
    </row>
    <row r="410" spans="3:3">
      <c r="C410" s="79">
        <f t="shared" si="6"/>
        <v>0</v>
      </c>
    </row>
    <row r="411" spans="3:3">
      <c r="C411" s="79">
        <f t="shared" si="6"/>
        <v>0</v>
      </c>
    </row>
    <row r="412" spans="3:3">
      <c r="C412" s="79">
        <f t="shared" si="6"/>
        <v>0</v>
      </c>
    </row>
    <row r="413" spans="3:3">
      <c r="C413" s="79">
        <f t="shared" si="6"/>
        <v>0</v>
      </c>
    </row>
    <row r="414" spans="3:3">
      <c r="C414" s="79">
        <f t="shared" si="6"/>
        <v>0</v>
      </c>
    </row>
    <row r="415" spans="3:3">
      <c r="C415" s="79">
        <f t="shared" si="6"/>
        <v>0</v>
      </c>
    </row>
    <row r="416" spans="3:3">
      <c r="C416" s="79">
        <f t="shared" si="6"/>
        <v>0</v>
      </c>
    </row>
    <row r="417" spans="3:3">
      <c r="C417" s="79">
        <f t="shared" si="6"/>
        <v>0</v>
      </c>
    </row>
    <row r="418" spans="3:3">
      <c r="C418" s="79">
        <f t="shared" si="6"/>
        <v>0</v>
      </c>
    </row>
    <row r="419" spans="3:3">
      <c r="C419" s="79">
        <f t="shared" si="6"/>
        <v>0</v>
      </c>
    </row>
    <row r="420" spans="3:3">
      <c r="C420" s="79">
        <f t="shared" si="6"/>
        <v>0</v>
      </c>
    </row>
    <row r="421" spans="3:3">
      <c r="C421" s="79">
        <f t="shared" si="6"/>
        <v>0</v>
      </c>
    </row>
    <row r="422" spans="3:3">
      <c r="C422" s="79">
        <f t="shared" si="6"/>
        <v>0</v>
      </c>
    </row>
    <row r="423" spans="3:3">
      <c r="C423" s="79">
        <f t="shared" si="6"/>
        <v>0</v>
      </c>
    </row>
    <row r="424" spans="3:3">
      <c r="C424" s="79">
        <f t="shared" si="6"/>
        <v>0</v>
      </c>
    </row>
    <row r="425" spans="3:3">
      <c r="C425" s="79">
        <f t="shared" si="6"/>
        <v>0</v>
      </c>
    </row>
    <row r="426" spans="3:3">
      <c r="C426" s="79">
        <f t="shared" si="6"/>
        <v>0</v>
      </c>
    </row>
    <row r="427" spans="3:3">
      <c r="C427" s="79">
        <f t="shared" si="6"/>
        <v>0</v>
      </c>
    </row>
    <row r="428" spans="3:3">
      <c r="C428" s="79">
        <f t="shared" si="6"/>
        <v>0</v>
      </c>
    </row>
    <row r="429" spans="3:3">
      <c r="C429" s="79">
        <f t="shared" si="6"/>
        <v>0</v>
      </c>
    </row>
    <row r="430" spans="3:3">
      <c r="C430" s="79">
        <f t="shared" si="6"/>
        <v>0</v>
      </c>
    </row>
    <row r="431" spans="3:3">
      <c r="C431" s="79">
        <f t="shared" si="6"/>
        <v>0</v>
      </c>
    </row>
    <row r="432" spans="3:3">
      <c r="C432" s="79">
        <f t="shared" si="6"/>
        <v>0</v>
      </c>
    </row>
    <row r="433" spans="3:3">
      <c r="C433" s="79">
        <f t="shared" si="6"/>
        <v>0</v>
      </c>
    </row>
    <row r="434" spans="3:3">
      <c r="C434" s="79">
        <f t="shared" si="6"/>
        <v>0</v>
      </c>
    </row>
    <row r="435" spans="3:3">
      <c r="C435" s="79">
        <f t="shared" si="6"/>
        <v>0</v>
      </c>
    </row>
    <row r="436" spans="3:3">
      <c r="C436" s="79">
        <f t="shared" si="6"/>
        <v>0</v>
      </c>
    </row>
    <row r="437" spans="3:3">
      <c r="C437" s="79">
        <f t="shared" si="6"/>
        <v>0</v>
      </c>
    </row>
    <row r="438" spans="3:3">
      <c r="C438" s="79">
        <f t="shared" si="6"/>
        <v>0</v>
      </c>
    </row>
    <row r="439" spans="3:3">
      <c r="C439" s="79">
        <f t="shared" si="6"/>
        <v>0</v>
      </c>
    </row>
    <row r="440" spans="3:3">
      <c r="C440" s="79">
        <f t="shared" si="6"/>
        <v>0</v>
      </c>
    </row>
    <row r="441" spans="3:3">
      <c r="C441" s="79">
        <f t="shared" si="6"/>
        <v>0</v>
      </c>
    </row>
    <row r="442" spans="3:3">
      <c r="C442" s="79">
        <f t="shared" si="6"/>
        <v>0</v>
      </c>
    </row>
    <row r="443" spans="3:3">
      <c r="C443" s="79">
        <f t="shared" si="6"/>
        <v>0</v>
      </c>
    </row>
    <row r="444" spans="3:3">
      <c r="C444" s="79">
        <f t="shared" si="6"/>
        <v>0</v>
      </c>
    </row>
    <row r="445" spans="3:3">
      <c r="C445" s="79">
        <f t="shared" si="6"/>
        <v>0</v>
      </c>
    </row>
    <row r="446" spans="3:3">
      <c r="C446" s="79">
        <f t="shared" si="6"/>
        <v>0</v>
      </c>
    </row>
    <row r="447" spans="3:3">
      <c r="C447" s="79">
        <f t="shared" si="6"/>
        <v>0</v>
      </c>
    </row>
    <row r="448" spans="3:3">
      <c r="C448" s="79">
        <f t="shared" si="6"/>
        <v>0</v>
      </c>
    </row>
    <row r="449" spans="3:3">
      <c r="C449" s="79">
        <f t="shared" si="6"/>
        <v>0</v>
      </c>
    </row>
    <row r="450" spans="3:3">
      <c r="C450" s="79">
        <f t="shared" si="6"/>
        <v>0</v>
      </c>
    </row>
    <row r="451" spans="3:3">
      <c r="C451" s="79">
        <f t="shared" si="6"/>
        <v>0</v>
      </c>
    </row>
    <row r="452" spans="3:3">
      <c r="C452" s="79">
        <f t="shared" si="6"/>
        <v>0</v>
      </c>
    </row>
  </sheetData>
  <mergeCells count="6">
    <mergeCell ref="B2:D2"/>
    <mergeCell ref="B69:D69"/>
    <mergeCell ref="B134:D134"/>
    <mergeCell ref="A2:A4"/>
    <mergeCell ref="A69:A71"/>
    <mergeCell ref="A134:A136"/>
  </mergeCells>
  <pageMargins left="0.7" right="0.7" top="0.75" bottom="0.75" header="0.3" footer="0.3"/>
  <pageSetup paperSize="9" orientation="portrait"/>
  <headerFooter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Лист27"/>
  <dimension ref="A1:Z12"/>
  <sheetViews>
    <sheetView zoomScale="90" zoomScaleNormal="90" workbookViewId="0">
      <selection activeCell="B11" sqref="B11"/>
    </sheetView>
  </sheetViews>
  <sheetFormatPr defaultColWidth="0" defaultRowHeight="14.25" zeroHeight="1"/>
  <cols>
    <col min="1" max="1" width="73" style="422" customWidth="1"/>
    <col min="2" max="2" width="22.2666666666667" style="329" customWidth="1"/>
    <col min="3" max="3" width="65.2666666666667" style="329" customWidth="1"/>
    <col min="4" max="4" width="13.2666666666667" style="423" customWidth="1"/>
    <col min="5" max="5" width="11.1809523809524" style="329" customWidth="1"/>
    <col min="6" max="6" width="12.1809523809524" style="329" customWidth="1"/>
    <col min="7" max="7" width="16.7238095238095" style="329" customWidth="1"/>
    <col min="8" max="9" width="9.18095238095238" style="329" customWidth="1"/>
    <col min="10" max="27" width="0" style="329" hidden="1" customWidth="1"/>
    <col min="28" max="16384" width="9.18095238095238" style="329" hidden="1"/>
  </cols>
  <sheetData>
    <row r="1" s="327" customFormat="1" ht="33" customHeight="1" spans="1:26">
      <c r="A1" s="330" t="s">
        <v>237</v>
      </c>
      <c r="B1" s="331"/>
      <c r="C1" s="332" t="s">
        <v>102</v>
      </c>
      <c r="D1" s="424"/>
      <c r="E1" s="331"/>
      <c r="F1" s="331"/>
      <c r="G1" s="331"/>
      <c r="H1" s="331"/>
      <c r="I1" s="331"/>
      <c r="J1" s="396"/>
      <c r="K1" s="396"/>
      <c r="L1" s="396"/>
      <c r="M1" s="396"/>
      <c r="N1" s="396"/>
      <c r="O1" s="396"/>
      <c r="P1" s="396"/>
      <c r="Q1" s="396"/>
      <c r="R1" s="396"/>
      <c r="S1" s="396"/>
      <c r="T1" s="396"/>
      <c r="U1" s="396"/>
      <c r="V1" s="396"/>
      <c r="W1" s="396"/>
      <c r="X1" s="396"/>
      <c r="Y1" s="396"/>
      <c r="Z1" s="396"/>
    </row>
    <row r="2" s="327" customFormat="1" ht="28.15" customHeight="1" spans="1:9">
      <c r="A2" s="333"/>
      <c r="B2" s="333"/>
      <c r="C2" s="334" t="s">
        <v>103</v>
      </c>
      <c r="D2" s="425"/>
      <c r="E2" s="426"/>
      <c r="F2" s="427"/>
      <c r="G2" s="427"/>
      <c r="H2" s="333"/>
      <c r="I2" s="333"/>
    </row>
    <row r="3" s="421" customFormat="1" ht="57" spans="1:9">
      <c r="A3" s="335" t="s">
        <v>104</v>
      </c>
      <c r="B3" s="336" t="s">
        <v>105</v>
      </c>
      <c r="C3" s="335" t="s">
        <v>106</v>
      </c>
      <c r="D3" s="337" t="s">
        <v>107</v>
      </c>
      <c r="E3" s="335" t="s">
        <v>108</v>
      </c>
      <c r="F3" s="335"/>
      <c r="G3" s="335"/>
      <c r="H3" s="428"/>
      <c r="I3" s="428"/>
    </row>
    <row r="4" s="327" customFormat="1" ht="40.15" customHeight="1" spans="1:9">
      <c r="A4" s="338" t="s">
        <v>238</v>
      </c>
      <c r="B4" s="339" t="s">
        <v>146</v>
      </c>
      <c r="C4" s="340"/>
      <c r="D4" s="341" t="s">
        <v>239</v>
      </c>
      <c r="E4" s="342" t="s">
        <v>114</v>
      </c>
      <c r="F4" s="342"/>
      <c r="G4" s="342"/>
      <c r="H4" s="333"/>
      <c r="I4" s="333"/>
    </row>
    <row r="5" s="327" customFormat="1" ht="177" customHeight="1" spans="1:9">
      <c r="A5" s="338" t="s">
        <v>240</v>
      </c>
      <c r="B5" s="339" t="s">
        <v>241</v>
      </c>
      <c r="C5" s="340" t="str">
        <f>CONCATENATE("В случае, если на группе отдельно стоящих объектов учет энергетических ресурсов и воды осуществляется по показаниям общего для данной группы объектов прибора коммерческого учета, вместе с тем на указанных отдельно стоящих объектах ","установлены приборы технического учета энергетических ресурсов и воды, при расчетах могут применяться показания данных приборов технического учета.",CHAR(10),CHAR(10),"Для поставленных ресурсов, расчет по которым осуществляется не на основании показаний приборов коммерческого учета, например, по нормативам, с использованием расчетных способов"," и т.д, а также для безвозмездно поставленных ресурсов требования по снижению потребления не устанавливаются.")</f>
        <v>В случае, если на группе отдельно стоящих объектов учет энергетических ресурсов и воды осуществляется по показаниям общего для данной группы объектов прибора коммерческого учета, вместе с тем на указанных отдельно стоящих объектах установлены приборы технического учета энергетических ресурсов и воды, при расчетах могут применяться показания данных приборов технического учета.
Для поставленных ресурсов, расчет по которым осуществляется не на основании показаний приборов коммерческого учета, например, по нормативам, с использованием расчетных способов и т.д, а также для безвозмездно поставленных ресурсов требования по снижению потребления не устанавливаются.</v>
      </c>
      <c r="D5" s="429" t="s">
        <v>242</v>
      </c>
      <c r="E5" s="342" t="s">
        <v>114</v>
      </c>
      <c r="F5" s="342"/>
      <c r="G5" s="342"/>
      <c r="H5" s="333"/>
      <c r="I5" s="333"/>
    </row>
    <row r="6" ht="37.5" customHeight="1" spans="1:9">
      <c r="A6" s="361" t="s">
        <v>243</v>
      </c>
      <c r="B6" s="430" t="s">
        <v>244</v>
      </c>
      <c r="C6" s="340" t="s">
        <v>245</v>
      </c>
      <c r="D6" s="341" t="s">
        <v>133</v>
      </c>
      <c r="E6" s="401" t="s">
        <v>124</v>
      </c>
      <c r="F6" s="401"/>
      <c r="G6" s="401"/>
      <c r="H6" s="333"/>
      <c r="I6" s="333"/>
    </row>
    <row r="7" ht="28.5" customHeight="1" spans="1:9">
      <c r="A7" s="361" t="s">
        <v>246</v>
      </c>
      <c r="B7" s="430">
        <v>58.64</v>
      </c>
      <c r="C7" s="340" t="s">
        <v>247</v>
      </c>
      <c r="D7" s="429" t="s">
        <v>248</v>
      </c>
      <c r="E7" s="431" t="s">
        <v>114</v>
      </c>
      <c r="F7" s="432"/>
      <c r="G7" s="433"/>
      <c r="H7" s="333"/>
      <c r="I7" s="333"/>
    </row>
    <row r="8" ht="30.75" customHeight="1" spans="1:9">
      <c r="A8" s="434" t="s">
        <v>249</v>
      </c>
      <c r="B8" s="430"/>
      <c r="C8" s="340" t="s">
        <v>250</v>
      </c>
      <c r="D8" s="429" t="s">
        <v>248</v>
      </c>
      <c r="E8" s="435"/>
      <c r="F8" s="436"/>
      <c r="G8" s="437"/>
      <c r="H8" s="333"/>
      <c r="I8" s="333"/>
    </row>
    <row r="9" ht="12.4" hidden="1" customHeight="1" spans="1:9">
      <c r="A9" s="361" t="s">
        <v>251</v>
      </c>
      <c r="B9" s="438">
        <f>IF(B6="Совместный",B8-IF('1.Общие данные по зданию'!C6='Экспресс потенциал'!B6,0.032,0.059)*'3.УР горячей воды'!B6,B7)</f>
        <v>58.64</v>
      </c>
      <c r="C9" s="340" t="s">
        <v>252</v>
      </c>
      <c r="D9" s="439"/>
      <c r="E9" s="440"/>
      <c r="F9" s="440"/>
      <c r="G9" s="440"/>
      <c r="H9" s="333"/>
      <c r="I9" s="333"/>
    </row>
    <row r="10" s="327" customFormat="1" spans="1:9">
      <c r="A10" s="333"/>
      <c r="B10" s="333"/>
      <c r="C10" s="333"/>
      <c r="D10" s="425"/>
      <c r="E10" s="427"/>
      <c r="F10" s="427"/>
      <c r="G10" s="427"/>
      <c r="H10" s="333"/>
      <c r="I10" s="333"/>
    </row>
    <row r="11" spans="1:9">
      <c r="A11" s="409" t="s">
        <v>164</v>
      </c>
      <c r="B11" s="351" t="str">
        <f>IF(OR(B4="нет",B5="нет",AND(B4&lt;&gt;"пожалуйста, выберите…",B5&lt;&gt;"Укажите наличие…",B6&lt;&gt;"пожалуйста, выберите…",B7+B8&gt;0)),"Готово","Заполните данные")</f>
        <v>Готово</v>
      </c>
      <c r="C11" s="333"/>
      <c r="D11" s="425"/>
      <c r="E11" s="391"/>
      <c r="F11" s="333"/>
      <c r="G11" s="333"/>
      <c r="H11" s="333"/>
      <c r="I11" s="333"/>
    </row>
    <row r="12" s="327" customFormat="1" spans="1:9">
      <c r="A12" s="333"/>
      <c r="B12" s="333"/>
      <c r="C12" s="333"/>
      <c r="D12" s="425"/>
      <c r="E12" s="427"/>
      <c r="F12" s="427"/>
      <c r="G12" s="427"/>
      <c r="H12" s="333"/>
      <c r="I12" s="333"/>
    </row>
  </sheetData>
  <sheetProtection algorithmName="SHA-512" hashValue="wDHHxYroAkPAELG0c9DcKPbJgBQMBOAi8SQ3WUSEKhWqj/4ZzmSMIUr8+NXvgxGdLhnnPEr1CZiZrPyfBHAJWQ==" saltValue="foHyV8JroyoJfTx6wGqtpQ==" spinCount="100000" sheet="1" objects="1" scenarios="1"/>
  <mergeCells count="5">
    <mergeCell ref="E3:G3"/>
    <mergeCell ref="E4:G4"/>
    <mergeCell ref="E5:G5"/>
    <mergeCell ref="E6:G6"/>
    <mergeCell ref="E7:G8"/>
  </mergeCells>
  <conditionalFormatting sqref="B5">
    <cfRule type="containsText" dxfId="4" priority="1" operator="between" text="Укажите наличие…">
      <formula>NOT(ISERROR(SEARCH("Укажите наличие…",B5)))</formula>
    </cfRule>
  </conditionalFormatting>
  <conditionalFormatting sqref="B6">
    <cfRule type="expression" dxfId="6" priority="4">
      <formula>$B$5="нет"</formula>
    </cfRule>
  </conditionalFormatting>
  <conditionalFormatting sqref="B7">
    <cfRule type="expression" dxfId="7" priority="8">
      <formula>$B$6="Совместный"</formula>
    </cfRule>
    <cfRule type="expression" dxfId="7" priority="9">
      <formula>$B$6="Пожалуйста, выберите…"</formula>
    </cfRule>
  </conditionalFormatting>
  <conditionalFormatting sqref="B8">
    <cfRule type="expression" dxfId="7" priority="6">
      <formula>$B$6="Раздельный"</formula>
    </cfRule>
    <cfRule type="expression" dxfId="7" priority="7">
      <formula>$B$6="Пожалуйста, выберите…"</formula>
    </cfRule>
  </conditionalFormatting>
  <conditionalFormatting sqref="B11">
    <cfRule type="containsText" dxfId="1" priority="2" operator="between" text="Готово">
      <formula>NOT(ISERROR(SEARCH("Готово",B11)))</formula>
    </cfRule>
    <cfRule type="containsText" dxfId="4" priority="3" operator="between" text="Заполните данные">
      <formula>NOT(ISERROR(SEARCH("Заполните данные",B11)))</formula>
    </cfRule>
  </conditionalFormatting>
  <conditionalFormatting sqref="B4:B6">
    <cfRule type="cellIs" dxfId="3" priority="10" operator="equal">
      <formula>"Пожалуйста, выберите…"</formula>
    </cfRule>
  </conditionalFormatting>
  <conditionalFormatting sqref="B5:B6">
    <cfRule type="expression" dxfId="6" priority="5">
      <formula>$B$4="нет"</formula>
    </cfRule>
  </conditionalFormatting>
  <dataValidations count="5">
    <dataValidation type="list" allowBlank="1" showInputMessage="1" showErrorMessage="1" sqref="B4">
      <formula1>danet</formula1>
    </dataValidation>
    <dataValidation type="list" allowBlank="1" showInputMessage="1" showErrorMessage="1" sqref="B5">
      <formula1>PUdanet</formula1>
    </dataValidation>
    <dataValidation type="list" allowBlank="1" showInputMessage="1" showErrorMessage="1" sqref="B6">
      <formula1>Uchet</formula1>
    </dataValidation>
    <dataValidation type="decimal" operator="between" allowBlank="1" showInputMessage="1" showErrorMessage="1" sqref="B7">
      <formula1>0</formula1>
      <formula2>IF(B6="совместный",0,100000)</formula2>
    </dataValidation>
    <dataValidation type="decimal" operator="between" allowBlank="1" showInputMessage="1" showErrorMessage="1" sqref="B8">
      <formula1>0</formula1>
      <formula2>IF(B6="Раздельный",0,1000000)</formula2>
    </dataValidation>
  </dataValidations>
  <hyperlinks>
    <hyperlink ref="C1" location="'0.Результаты расчета'!A1" display="Перейти к результатам расчета потенциала и ЦУС"/>
  </hyperlink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Лист28"/>
  <dimension ref="A1:Z12"/>
  <sheetViews>
    <sheetView zoomScale="90" zoomScaleNormal="90" workbookViewId="0">
      <selection activeCell="B11" sqref="B11"/>
    </sheetView>
  </sheetViews>
  <sheetFormatPr defaultColWidth="0" defaultRowHeight="14.25" zeroHeight="1"/>
  <cols>
    <col min="1" max="1" width="44.7238095238095" style="329" customWidth="1"/>
    <col min="2" max="2" width="27" style="329" customWidth="1"/>
    <col min="3" max="3" width="67.2666666666667" style="329" customWidth="1"/>
    <col min="4" max="4" width="13.2666666666667" style="329" customWidth="1"/>
    <col min="5" max="5" width="10.4571428571429" style="329" customWidth="1"/>
    <col min="6" max="6" width="12.7238095238095" style="329" customWidth="1"/>
    <col min="7" max="7" width="18.7238095238095" style="329" customWidth="1"/>
    <col min="8" max="9" width="9.18095238095238" style="329" customWidth="1"/>
    <col min="10" max="27" width="0" style="329" hidden="1" customWidth="1"/>
    <col min="28" max="16384" width="9.18095238095238" style="329" hidden="1"/>
  </cols>
  <sheetData>
    <row r="1" s="327" customFormat="1" ht="30" customHeight="1" spans="1:26">
      <c r="A1" s="330" t="s">
        <v>253</v>
      </c>
      <c r="B1" s="326"/>
      <c r="C1" s="332" t="s">
        <v>102</v>
      </c>
      <c r="D1" s="326"/>
      <c r="E1" s="326"/>
      <c r="F1" s="326"/>
      <c r="G1" s="326"/>
      <c r="H1" s="326"/>
      <c r="I1" s="326"/>
      <c r="J1" s="396"/>
      <c r="K1" s="396"/>
      <c r="L1" s="396"/>
      <c r="M1" s="396"/>
      <c r="N1" s="396"/>
      <c r="O1" s="396"/>
      <c r="P1" s="396"/>
      <c r="Q1" s="396"/>
      <c r="R1" s="396"/>
      <c r="S1" s="396"/>
      <c r="T1" s="396"/>
      <c r="U1" s="396"/>
      <c r="V1" s="396"/>
      <c r="W1" s="396"/>
      <c r="X1" s="396"/>
      <c r="Y1" s="396"/>
      <c r="Z1" s="396"/>
    </row>
    <row r="2" s="327" customFormat="1" ht="24" customHeight="1" spans="1:9">
      <c r="A2" s="333"/>
      <c r="B2" s="333"/>
      <c r="C2" s="334" t="s">
        <v>103</v>
      </c>
      <c r="D2" s="333"/>
      <c r="E2" s="333"/>
      <c r="F2" s="333"/>
      <c r="G2" s="333"/>
      <c r="H2" s="333"/>
      <c r="I2" s="333"/>
    </row>
    <row r="3" s="327" customFormat="1" ht="57" spans="1:9">
      <c r="A3" s="335" t="s">
        <v>104</v>
      </c>
      <c r="B3" s="336" t="s">
        <v>105</v>
      </c>
      <c r="C3" s="335" t="s">
        <v>106</v>
      </c>
      <c r="D3" s="337" t="s">
        <v>107</v>
      </c>
      <c r="E3" s="335" t="s">
        <v>108</v>
      </c>
      <c r="F3" s="335"/>
      <c r="G3" s="335"/>
      <c r="H3" s="333"/>
      <c r="I3" s="333"/>
    </row>
    <row r="4" s="327" customFormat="1" ht="34.15" customHeight="1" spans="1:9">
      <c r="A4" s="338" t="s">
        <v>254</v>
      </c>
      <c r="B4" s="339" t="s">
        <v>133</v>
      </c>
      <c r="C4" s="340"/>
      <c r="D4" s="341" t="s">
        <v>255</v>
      </c>
      <c r="E4" s="342" t="s">
        <v>114</v>
      </c>
      <c r="F4" s="342"/>
      <c r="G4" s="342"/>
      <c r="H4" s="333"/>
      <c r="I4" s="333"/>
    </row>
    <row r="5" s="327" customFormat="1" ht="172.15" customHeight="1" spans="1:9">
      <c r="A5" s="338" t="s">
        <v>256</v>
      </c>
      <c r="B5" s="339" t="s">
        <v>133</v>
      </c>
      <c r="C5" s="340" t="str">
        <f>CONCATENATE("В случае, если на группе отдельно стоящих объектов учет энергетических ресурсов и воды осуществляется по показаниям общего для данной группы объектов прибора коммерческого учета, вместе с тем на указанных отдельно стоящих объектах ","установлены приборы технического учета энергетических ресурсов и воды, при расчетах  могут применяться показания данных приборов технического учета.",CHAR(10),CHAR(10),"Для поставленных ресурсов, расчет по которым осуществляется не на основании показаний приборов коммерческого учета, например, по нормативам, с использованием расчетных способов"," и т.д, а также для безвозмездно поставленных ресурсов требования по снижению потребления не устанавливаются.")</f>
        <v>В случае, если на группе отдельно стоящих объектов учет энергетических ресурсов и воды осуществляется по показаниям общего для данной группы объектов прибора коммерческого учета, вместе с тем на указанных отдельно стоящих объектах установлены приборы технического учета энергетических ресурсов и воды, при расчетах  могут применяться показания данных приборов технического учета.
Для поставленных ресурсов, расчет по которым осуществляется не на основании показаний приборов коммерческого учета, например, по нормативам, с использованием расчетных способов и т.д, а также для безвозмездно поставленных ресурсов требования по снижению потребления не устанавливаются.</v>
      </c>
      <c r="D5" s="398" t="s">
        <v>257</v>
      </c>
      <c r="E5" s="342" t="s">
        <v>114</v>
      </c>
      <c r="F5" s="342"/>
      <c r="G5" s="342"/>
      <c r="H5" s="333"/>
      <c r="I5" s="333"/>
    </row>
    <row r="6" ht="43.5" customHeight="1" spans="1:9">
      <c r="A6" s="361" t="s">
        <v>258</v>
      </c>
      <c r="B6" s="362"/>
      <c r="C6" s="340"/>
      <c r="D6" s="364" t="s">
        <v>259</v>
      </c>
      <c r="E6" s="342" t="s">
        <v>114</v>
      </c>
      <c r="F6" s="342"/>
      <c r="G6" s="342"/>
      <c r="H6" s="333"/>
      <c r="I6" s="333"/>
    </row>
    <row r="7" s="327" customFormat="1" spans="1:9">
      <c r="A7" s="333"/>
      <c r="B7" s="333"/>
      <c r="C7" s="333"/>
      <c r="D7" s="333"/>
      <c r="E7" s="333"/>
      <c r="F7" s="333"/>
      <c r="G7" s="333"/>
      <c r="H7" s="333"/>
      <c r="I7" s="333"/>
    </row>
    <row r="8" spans="1:9">
      <c r="A8" s="420" t="s">
        <v>260</v>
      </c>
      <c r="B8" s="420"/>
      <c r="C8" s="420"/>
      <c r="D8" s="333"/>
      <c r="E8" s="333"/>
      <c r="F8" s="333"/>
      <c r="G8" s="333"/>
      <c r="H8" s="333"/>
      <c r="I8" s="333"/>
    </row>
    <row r="9" ht="54" customHeight="1" spans="1:9">
      <c r="A9" s="350" t="s">
        <v>261</v>
      </c>
      <c r="B9" s="356"/>
      <c r="C9" s="340" t="s">
        <v>262</v>
      </c>
      <c r="D9" s="333"/>
      <c r="E9" s="333"/>
      <c r="F9" s="333"/>
      <c r="G9" s="333"/>
      <c r="H9" s="333"/>
      <c r="I9" s="333"/>
    </row>
    <row r="10" s="327" customFormat="1" spans="1:9">
      <c r="A10" s="333"/>
      <c r="B10" s="407">
        <f>IF(OR(AND('1.Общие данные по зданию'!C20="да",B9&gt;0,'1.Общие данные по зданию'!C21&gt;0,'1.Общие данные по зданию'!C22&gt;0),AND('1.Общие данные по зданию'!C20="нет",'1.Общие данные по зданию'!C21+'1.Общие данные по зданию'!C22=0)),1,0)</f>
        <v>1</v>
      </c>
      <c r="C10" s="333"/>
      <c r="D10" s="333"/>
      <c r="E10" s="333"/>
      <c r="F10" s="333"/>
      <c r="G10" s="333"/>
      <c r="H10" s="333"/>
      <c r="I10" s="333"/>
    </row>
    <row r="11" ht="38.25" spans="1:9">
      <c r="A11" s="350" t="s">
        <v>164</v>
      </c>
      <c r="B11" s="351" t="str">
        <f>IF(OR(B4="нет",B5="нет",AND(B4&lt;&gt;"пожалуйста, выберите…",B5&lt;&gt;"Укажите наличие…",B6&gt;0,'1.Общие данные по зданию'!C20&lt;&gt;"пожалуйста, выберите…",B10=1)),"Готово","Заполните данные")</f>
        <v>Готово</v>
      </c>
      <c r="C11" s="340" t="s">
        <v>263</v>
      </c>
      <c r="D11" s="333"/>
      <c r="E11" s="333"/>
      <c r="F11" s="333"/>
      <c r="G11" s="333"/>
      <c r="H11" s="333"/>
      <c r="I11" s="333"/>
    </row>
    <row r="12" spans="1:9">
      <c r="A12" s="333"/>
      <c r="B12" s="333"/>
      <c r="C12" s="333"/>
      <c r="D12" s="333"/>
      <c r="E12" s="333"/>
      <c r="F12" s="333"/>
      <c r="G12" s="333"/>
      <c r="H12" s="333"/>
      <c r="I12" s="333"/>
    </row>
  </sheetData>
  <sheetProtection algorithmName="SHA-512" hashValue="3ZpsTjlnWqhIoLu4z3Bit58cpDJ415TNe8iP/ruatgMa5AwQZx2hkeSYlZ1aeBPyC5BTvtrmyZhC5Rx8pARvYA==" saltValue="05S4nwf0RWkKzvr7Y7ucOg==" spinCount="100000" sheet="1" objects="1" scenarios="1"/>
  <mergeCells count="5">
    <mergeCell ref="E3:G3"/>
    <mergeCell ref="E4:G4"/>
    <mergeCell ref="E5:G5"/>
    <mergeCell ref="E6:G6"/>
    <mergeCell ref="A8:C8"/>
  </mergeCells>
  <conditionalFormatting sqref="B4">
    <cfRule type="cellIs" dxfId="3" priority="8" operator="equal">
      <formula>"Пожалуйста, выберите…"</formula>
    </cfRule>
  </conditionalFormatting>
  <conditionalFormatting sqref="B5">
    <cfRule type="containsText" dxfId="4" priority="1" operator="between" text="Укажите наличие…">
      <formula>NOT(ISERROR(SEARCH("Укажите наличие…",B5)))</formula>
    </cfRule>
    <cfRule type="cellIs" dxfId="3" priority="12" operator="equal">
      <formula>"Пожалуйста, выберите…"</formula>
    </cfRule>
  </conditionalFormatting>
  <conditionalFormatting sqref="B6">
    <cfRule type="expression" dxfId="6" priority="5">
      <formula>$B$5="нет"</formula>
    </cfRule>
  </conditionalFormatting>
  <conditionalFormatting sqref="B9">
    <cfRule type="expression" dxfId="6" priority="34">
      <formula>'1.Общие данные по зданию'!$C$20="нет"</formula>
    </cfRule>
    <cfRule type="expression" dxfId="6" priority="35">
      <formula>'1.Общие данные по зданию'!$C$20="Пожалуйста, выберите…"</formula>
    </cfRule>
  </conditionalFormatting>
  <conditionalFormatting sqref="B11">
    <cfRule type="containsText" dxfId="1" priority="3" operator="between" text="Готово">
      <formula>NOT(ISERROR(SEARCH("Готово",B11)))</formula>
    </cfRule>
    <cfRule type="containsText" dxfId="4" priority="4" operator="between" text="Заполните данные">
      <formula>NOT(ISERROR(SEARCH("Заполните данные",B11)))</formula>
    </cfRule>
  </conditionalFormatting>
  <conditionalFormatting sqref="B5:B6">
    <cfRule type="expression" dxfId="6" priority="2">
      <formula>$B$4="Пожалуйста, выберите…"</formula>
    </cfRule>
    <cfRule type="expression" dxfId="6" priority="6">
      <formula>$B$4="нет"</formula>
    </cfRule>
  </conditionalFormatting>
  <dataValidations count="4">
    <dataValidation type="list" allowBlank="1" showInputMessage="1" showErrorMessage="1" sqref="B4">
      <formula1>danet</formula1>
    </dataValidation>
    <dataValidation type="list" allowBlank="1" showInputMessage="1" showErrorMessage="1" sqref="B5">
      <formula1>PUdanet</formula1>
    </dataValidation>
    <dataValidation type="decimal" operator="between" allowBlank="1" showInputMessage="1" showErrorMessage="1" sqref="B6">
      <formula1>0</formula1>
      <formula2>1000000</formula2>
    </dataValidation>
    <dataValidation type="decimal" operator="between" allowBlank="1" showInputMessage="1" showErrorMessage="1" sqref="B9">
      <formula1>0</formula1>
      <formula2>1</formula2>
    </dataValidation>
  </dataValidations>
  <hyperlinks>
    <hyperlink ref="C1" location="'0.Результаты расчета'!A1" display="Перейти к результатам расчета потенциала и ЦУС"/>
  </hyperlink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Лист29"/>
  <dimension ref="A1:Z12"/>
  <sheetViews>
    <sheetView zoomScale="90" zoomScaleNormal="90" workbookViewId="0">
      <selection activeCell="B11" sqref="B11"/>
    </sheetView>
  </sheetViews>
  <sheetFormatPr defaultColWidth="0" defaultRowHeight="14.25" zeroHeight="1"/>
  <cols>
    <col min="1" max="1" width="44.7238095238095" style="329" customWidth="1"/>
    <col min="2" max="2" width="27.7238095238095" style="329" customWidth="1"/>
    <col min="3" max="3" width="59.1809523809524" style="329" customWidth="1"/>
    <col min="4" max="4" width="14" style="329" customWidth="1"/>
    <col min="5" max="5" width="12.4571428571429" style="329" customWidth="1"/>
    <col min="6" max="6" width="10.4571428571429" style="329" customWidth="1"/>
    <col min="7" max="7" width="9.45714285714286" style="329" customWidth="1"/>
    <col min="8" max="9" width="9.18095238095238" style="329" customWidth="1"/>
    <col min="10" max="27" width="0" style="329" hidden="1" customWidth="1"/>
    <col min="28" max="16384" width="9.18095238095238" style="329" hidden="1"/>
  </cols>
  <sheetData>
    <row r="1" s="327" customFormat="1" ht="28.15" customHeight="1" spans="1:26">
      <c r="A1" s="330" t="s">
        <v>264</v>
      </c>
      <c r="B1" s="331"/>
      <c r="C1" s="332" t="s">
        <v>102</v>
      </c>
      <c r="D1" s="331"/>
      <c r="E1" s="331"/>
      <c r="F1" s="331"/>
      <c r="G1" s="331"/>
      <c r="H1" s="331"/>
      <c r="I1" s="331"/>
      <c r="J1" s="396"/>
      <c r="K1" s="396"/>
      <c r="L1" s="396"/>
      <c r="M1" s="396"/>
      <c r="N1" s="396"/>
      <c r="O1" s="396"/>
      <c r="P1" s="396"/>
      <c r="Q1" s="396"/>
      <c r="R1" s="396"/>
      <c r="S1" s="396"/>
      <c r="T1" s="396"/>
      <c r="U1" s="396"/>
      <c r="V1" s="396"/>
      <c r="W1" s="396"/>
      <c r="X1" s="396"/>
      <c r="Y1" s="396"/>
      <c r="Z1" s="396"/>
    </row>
    <row r="2" s="327" customFormat="1" ht="25.9" customHeight="1" spans="1:9">
      <c r="A2" s="333"/>
      <c r="B2" s="333"/>
      <c r="C2" s="334" t="s">
        <v>103</v>
      </c>
      <c r="D2" s="333"/>
      <c r="E2" s="333"/>
      <c r="F2" s="333"/>
      <c r="G2" s="333"/>
      <c r="H2" s="333"/>
      <c r="I2" s="333"/>
    </row>
    <row r="3" s="327" customFormat="1" ht="42.75" spans="1:9">
      <c r="A3" s="335" t="s">
        <v>104</v>
      </c>
      <c r="B3" s="336" t="s">
        <v>105</v>
      </c>
      <c r="C3" s="335" t="s">
        <v>106</v>
      </c>
      <c r="D3" s="337" t="s">
        <v>107</v>
      </c>
      <c r="E3" s="335" t="s">
        <v>108</v>
      </c>
      <c r="F3" s="335"/>
      <c r="G3" s="335"/>
      <c r="H3" s="333"/>
      <c r="I3" s="333"/>
    </row>
    <row r="4" s="327" customFormat="1" ht="46.9" customHeight="1" spans="1:9">
      <c r="A4" s="338" t="s">
        <v>265</v>
      </c>
      <c r="B4" s="339" t="s">
        <v>146</v>
      </c>
      <c r="C4" s="340"/>
      <c r="D4" s="341" t="s">
        <v>255</v>
      </c>
      <c r="E4" s="408" t="s">
        <v>114</v>
      </c>
      <c r="F4" s="408"/>
      <c r="G4" s="408"/>
      <c r="H4" s="333"/>
      <c r="I4" s="333"/>
    </row>
    <row r="5" s="327" customFormat="1" ht="203.65" customHeight="1" spans="1:9">
      <c r="A5" s="338" t="s">
        <v>266</v>
      </c>
      <c r="B5" s="339" t="s">
        <v>241</v>
      </c>
      <c r="C5" s="340" t="str">
        <f>CONCATENATE("В случае, если на группе отдельно стоящих объектов учет энергетических ресурсов и воды осуществляется по показаниям общего для данной группы объектов прибора коммерческого учета, вместе с тем на указанных отдельно стоящих объектах ","установлены приборы технического учета энергетических ресурсов и воды, при расчетах  могут применяться показания данных приборов технического учета.",CHAR(10),CHAR(10),"Для поставленных ресурсов, расчет по которым осуществляется не на основании показаний приборов коммерческого учета, например, по нормативам, с использованием расчетных способов"," и т.д, а также для безвозмездно поставленных ресурсов требования по снижению потребления не устанавливаются.")</f>
        <v>В случае, если на группе отдельно стоящих объектов учет энергетических ресурсов и воды осуществляется по показаниям общего для данной группы объектов прибора коммерческого учета, вместе с тем на указанных отдельно стоящих объектах установлены приборы технического учета энергетических ресурсов и воды, при расчетах  могут применяться показания данных приборов технического учета.
Для поставленных ресурсов, расчет по которым осуществляется не на основании показаний приборов коммерческого учета, например, по нормативам, с использованием расчетных способов и т.д, а также для безвозмездно поставленных ресурсов требования по снижению потребления не устанавливаются.</v>
      </c>
      <c r="D5" s="398" t="s">
        <v>267</v>
      </c>
      <c r="E5" s="342" t="s">
        <v>114</v>
      </c>
      <c r="F5" s="342"/>
      <c r="G5" s="342"/>
      <c r="H5" s="333"/>
      <c r="I5" s="333"/>
    </row>
    <row r="6" ht="78" customHeight="1" spans="1:9">
      <c r="A6" s="409" t="s">
        <v>268</v>
      </c>
      <c r="B6" s="362">
        <v>220</v>
      </c>
      <c r="C6" s="340" t="s">
        <v>269</v>
      </c>
      <c r="D6" s="364" t="s">
        <v>259</v>
      </c>
      <c r="E6" s="342" t="s">
        <v>114</v>
      </c>
      <c r="F6" s="342"/>
      <c r="G6" s="342"/>
      <c r="H6" s="333"/>
      <c r="I6" s="333"/>
    </row>
    <row r="7" s="327" customFormat="1" spans="1:9">
      <c r="A7" s="333"/>
      <c r="B7" s="333"/>
      <c r="C7" s="333"/>
      <c r="D7" s="333"/>
      <c r="E7" s="333"/>
      <c r="F7" s="333"/>
      <c r="G7" s="333"/>
      <c r="H7" s="333"/>
      <c r="I7" s="333"/>
    </row>
    <row r="8" spans="1:9">
      <c r="A8" s="420" t="s">
        <v>260</v>
      </c>
      <c r="B8" s="420"/>
      <c r="C8" s="420"/>
      <c r="D8" s="333"/>
      <c r="E8" s="333"/>
      <c r="F8" s="333"/>
      <c r="G8" s="333"/>
      <c r="H8" s="333"/>
      <c r="I8" s="333"/>
    </row>
    <row r="9" ht="49.5" customHeight="1" spans="1:9">
      <c r="A9" s="350" t="s">
        <v>261</v>
      </c>
      <c r="B9" s="356">
        <v>0.049</v>
      </c>
      <c r="C9" s="340" t="s">
        <v>262</v>
      </c>
      <c r="D9" s="333"/>
      <c r="E9" s="333"/>
      <c r="F9" s="333"/>
      <c r="G9" s="333"/>
      <c r="H9" s="333"/>
      <c r="I9" s="333"/>
    </row>
    <row r="10" s="327" customFormat="1" spans="1:9">
      <c r="A10" s="333"/>
      <c r="B10" s="407">
        <f>IF(OR(AND('1.Общие данные по зданию'!C20="да",B9&gt;0,'1.Общие данные по зданию'!C21&gt;0,'1.Общие данные по зданию'!C22&gt;0),AND('1.Общие данные по зданию'!C20="нет",'1.Общие данные по зданию'!C21+'1.Общие данные по зданию'!C22=0)),1,0)</f>
        <v>1</v>
      </c>
      <c r="C10" s="333"/>
      <c r="D10" s="333"/>
      <c r="E10" s="333"/>
      <c r="F10" s="333"/>
      <c r="G10" s="333"/>
      <c r="H10" s="333"/>
      <c r="I10" s="333"/>
    </row>
    <row r="11" ht="51" spans="1:9">
      <c r="A11" s="350" t="s">
        <v>164</v>
      </c>
      <c r="B11" s="351" t="str">
        <f>IF(OR(B4="нет",B5="нет",AND(B4&lt;&gt;"пожалуйста, выберите…",B5&lt;&gt;"Укажите наличие…",B6&gt;0,'1.Общие данные по зданию'!C20&lt;&gt;"пожалуйста, выберите…",B10=1)),"Готово","Заполните данные")</f>
        <v>Готово</v>
      </c>
      <c r="C11" s="340" t="s">
        <v>263</v>
      </c>
      <c r="D11" s="333"/>
      <c r="E11" s="333"/>
      <c r="F11" s="333"/>
      <c r="G11" s="333"/>
      <c r="H11" s="333"/>
      <c r="I11" s="333"/>
    </row>
    <row r="12" spans="1:9">
      <c r="A12" s="333"/>
      <c r="B12" s="333"/>
      <c r="C12" s="333"/>
      <c r="D12" s="333"/>
      <c r="E12" s="333"/>
      <c r="F12" s="333"/>
      <c r="G12" s="333"/>
      <c r="H12" s="333"/>
      <c r="I12" s="333"/>
    </row>
  </sheetData>
  <sheetProtection algorithmName="SHA-512" hashValue="wDfP3NhL8wlNFjgiHt+xNQDurU1vdaRyDNbCo6dx+eynMmNrFuluxhmOr4BHjACbCfxGUiKKeBcgapw/VBh/yg==" saltValue="RudNSCd++HRkUBzRHFgQoQ==" spinCount="100000" sheet="1" objects="1" scenarios="1"/>
  <mergeCells count="5">
    <mergeCell ref="E3:G3"/>
    <mergeCell ref="E4:G4"/>
    <mergeCell ref="E5:G5"/>
    <mergeCell ref="E6:G6"/>
    <mergeCell ref="A8:C8"/>
  </mergeCells>
  <conditionalFormatting sqref="B5">
    <cfRule type="containsText" dxfId="4" priority="1" operator="between" text="Укажите наличие…">
      <formula>NOT(ISERROR(SEARCH("Укажите наличие…",B5)))</formula>
    </cfRule>
  </conditionalFormatting>
  <conditionalFormatting sqref="B6">
    <cfRule type="expression" dxfId="6" priority="2">
      <formula>$B$4="Пожалуйста, выберите…"</formula>
    </cfRule>
    <cfRule type="expression" dxfId="6" priority="14">
      <formula>$B$5="нет"</formula>
    </cfRule>
  </conditionalFormatting>
  <conditionalFormatting sqref="B9">
    <cfRule type="expression" dxfId="8" priority="5">
      <formula>'1.Общие данные по зданию'!$C$20="Пожалуйста, выберите…"</formula>
    </cfRule>
    <cfRule type="expression" dxfId="9" priority="6">
      <formula>'1.Общие данные по зданию'!$C$20="нет"</formula>
    </cfRule>
  </conditionalFormatting>
  <conditionalFormatting sqref="B11">
    <cfRule type="containsText" dxfId="1" priority="3" operator="between" text="Готово">
      <formula>NOT(ISERROR(SEARCH("Готово",B11)))</formula>
    </cfRule>
    <cfRule type="containsText" dxfId="4" priority="4" operator="between" text="Заполните данные">
      <formula>NOT(ISERROR(SEARCH("Заполните данные",B11)))</formula>
    </cfRule>
  </conditionalFormatting>
  <conditionalFormatting sqref="B4:B5">
    <cfRule type="cellIs" dxfId="3" priority="15" operator="equal">
      <formula>"Пожалуйста, выберите…"</formula>
    </cfRule>
  </conditionalFormatting>
  <conditionalFormatting sqref="B5:B6">
    <cfRule type="expression" dxfId="6" priority="13">
      <formula>$B$4="нет"</formula>
    </cfRule>
  </conditionalFormatting>
  <dataValidations count="4">
    <dataValidation type="list" allowBlank="1" showInputMessage="1" showErrorMessage="1" sqref="B4">
      <formula1>danet</formula1>
    </dataValidation>
    <dataValidation type="list" allowBlank="1" showInputMessage="1" showErrorMessage="1" sqref="B5">
      <formula1>PUdanet</formula1>
    </dataValidation>
    <dataValidation type="decimal" operator="between" allowBlank="1" showInputMessage="1" showErrorMessage="1" sqref="B6">
      <formula1>0</formula1>
      <formula2>1000000</formula2>
    </dataValidation>
    <dataValidation type="decimal" operator="between" allowBlank="1" showInputMessage="1" showErrorMessage="1" sqref="B9">
      <formula1>0</formula1>
      <formula2>1</formula2>
    </dataValidation>
  </dataValidations>
  <hyperlinks>
    <hyperlink ref="C1" location="'0.Результаты расчета'!A1" display="Перейти к результатам расчета потенциала и ЦУС"/>
  </hyperlink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Лист30"/>
  <dimension ref="A1:Z69"/>
  <sheetViews>
    <sheetView zoomScale="90" zoomScaleNormal="90" topLeftCell="A31" workbookViewId="0">
      <selection activeCell="A9" sqref="A9"/>
    </sheetView>
  </sheetViews>
  <sheetFormatPr defaultColWidth="0" defaultRowHeight="14.25" zeroHeight="1"/>
  <cols>
    <col min="1" max="1" width="54.4571428571429" style="329" customWidth="1"/>
    <col min="2" max="2" width="26.4571428571429" style="329" customWidth="1"/>
    <col min="3" max="3" width="54.2666666666667" style="329" customWidth="1"/>
    <col min="4" max="4" width="13.4571428571429" style="329" customWidth="1"/>
    <col min="5" max="5" width="10.4571428571429" style="329" customWidth="1"/>
    <col min="6" max="6" width="11" style="329" customWidth="1"/>
    <col min="7" max="7" width="11.1809523809524" style="329" customWidth="1"/>
    <col min="8" max="9" width="9.18095238095238" style="329" customWidth="1"/>
    <col min="10" max="27" width="0" style="329" hidden="1" customWidth="1"/>
    <col min="28" max="16384" width="9.18095238095238" style="329" hidden="1"/>
  </cols>
  <sheetData>
    <row r="1" s="327" customFormat="1" ht="39" customHeight="1" spans="1:26">
      <c r="A1" s="330" t="s">
        <v>270</v>
      </c>
      <c r="B1" s="331"/>
      <c r="C1" s="332" t="s">
        <v>102</v>
      </c>
      <c r="D1" s="331"/>
      <c r="E1" s="331"/>
      <c r="F1" s="331"/>
      <c r="G1" s="331"/>
      <c r="H1" s="331"/>
      <c r="I1" s="331"/>
      <c r="J1" s="396"/>
      <c r="K1" s="396"/>
      <c r="L1" s="396"/>
      <c r="M1" s="396"/>
      <c r="N1" s="396"/>
      <c r="O1" s="396"/>
      <c r="P1" s="396"/>
      <c r="Q1" s="396"/>
      <c r="R1" s="396"/>
      <c r="S1" s="396"/>
      <c r="T1" s="396"/>
      <c r="U1" s="396"/>
      <c r="V1" s="396"/>
      <c r="W1" s="396"/>
      <c r="X1" s="396"/>
      <c r="Y1" s="396"/>
      <c r="Z1" s="396"/>
    </row>
    <row r="2" s="327" customFormat="1" ht="25.9" customHeight="1" spans="1:9">
      <c r="A2" s="333"/>
      <c r="B2" s="333"/>
      <c r="C2" s="334" t="s">
        <v>103</v>
      </c>
      <c r="D2" s="333"/>
      <c r="E2" s="333"/>
      <c r="F2" s="333"/>
      <c r="G2" s="333"/>
      <c r="H2" s="333"/>
      <c r="I2" s="333"/>
    </row>
    <row r="3" s="327" customFormat="1" ht="57" spans="1:9">
      <c r="A3" s="335" t="s">
        <v>104</v>
      </c>
      <c r="B3" s="336" t="s">
        <v>105</v>
      </c>
      <c r="C3" s="335" t="s">
        <v>106</v>
      </c>
      <c r="D3" s="337" t="s">
        <v>107</v>
      </c>
      <c r="E3" s="335" t="s">
        <v>108</v>
      </c>
      <c r="F3" s="335"/>
      <c r="G3" s="335"/>
      <c r="H3" s="333"/>
      <c r="I3" s="333"/>
    </row>
    <row r="4" s="327" customFormat="1" ht="213" customHeight="1" spans="1:9">
      <c r="A4" s="338" t="s">
        <v>271</v>
      </c>
      <c r="B4" s="339" t="s">
        <v>241</v>
      </c>
      <c r="C4" s="340" t="str">
        <f>CONCATENATE("В случае, если на группе отдельно стоящих объектов учет энергетических ресурсов и воды осуществляется по показаниям общего для данной группы объектов прибора коммерческого учета, вместе с тем на указанных отдельно стоящих объектах ","установлены приборы технического учета энергетических ресурсов и воды, при расчетах  могут применяться показания данных приборов технического учета.",CHAR(10),CHAR(10),"Для поставленных ресурсов, расчет по которым осуществляется не на основании показаний приборов коммерческого учета, например, по нормативам, с использованием расчетных способов"," и т.д, а также для безвозмездно поставленных ресурсов требования по снижению потребления не устанавливаются.")</f>
        <v>В случае, если на группе отдельно стоящих объектов учет энергетических ресурсов и воды осуществляется по показаниям общего для данной группы объектов прибора коммерческого учета, вместе с тем на указанных отдельно стоящих объектах установлены приборы технического учета энергетических ресурсов и воды, при расчетах  могут применяться показания данных приборов технического учета.
Для поставленных ресурсов, расчет по которым осуществляется не на основании показаний приборов коммерческого учета, например, по нормативам, с использованием расчетных способов и т.д, а также для безвозмездно поставленных ресурсов требования по снижению потребления не устанавливаются.</v>
      </c>
      <c r="D4" s="398" t="s">
        <v>272</v>
      </c>
      <c r="E4" s="408" t="s">
        <v>114</v>
      </c>
      <c r="F4" s="408"/>
      <c r="G4" s="408"/>
      <c r="H4" s="333"/>
      <c r="I4" s="333"/>
    </row>
    <row r="5" ht="50.25" customHeight="1" spans="1:9">
      <c r="A5" s="409" t="s">
        <v>273</v>
      </c>
      <c r="B5" s="362">
        <v>49395</v>
      </c>
      <c r="C5" s="340"/>
      <c r="D5" s="364" t="s">
        <v>248</v>
      </c>
      <c r="E5" s="365" t="s">
        <v>114</v>
      </c>
      <c r="F5" s="365"/>
      <c r="G5" s="365"/>
      <c r="H5" s="333"/>
      <c r="I5" s="333"/>
    </row>
    <row r="6" ht="36" customHeight="1" spans="1:9">
      <c r="A6" s="409" t="s">
        <v>274</v>
      </c>
      <c r="B6" s="410"/>
      <c r="C6" s="340" t="s">
        <v>275</v>
      </c>
      <c r="D6" s="398" t="s">
        <v>133</v>
      </c>
      <c r="E6" s="411"/>
      <c r="F6" s="411"/>
      <c r="G6" s="412"/>
      <c r="H6" s="333"/>
      <c r="I6" s="333"/>
    </row>
    <row r="7" ht="31.15" customHeight="1" spans="1:9">
      <c r="A7" s="409" t="s">
        <v>276</v>
      </c>
      <c r="B7" s="339" t="s">
        <v>133</v>
      </c>
      <c r="C7" s="340"/>
      <c r="D7" s="364" t="s">
        <v>277</v>
      </c>
      <c r="E7" s="365" t="s">
        <v>114</v>
      </c>
      <c r="F7" s="365"/>
      <c r="G7" s="365"/>
      <c r="H7" s="333"/>
      <c r="I7" s="333"/>
    </row>
    <row r="8" s="327" customFormat="1" spans="1:9">
      <c r="A8" s="333"/>
      <c r="B8" s="333"/>
      <c r="C8" s="333"/>
      <c r="D8" s="333"/>
      <c r="E8" s="333"/>
      <c r="F8" s="333"/>
      <c r="G8" s="333"/>
      <c r="H8" s="333"/>
      <c r="I8" s="333"/>
    </row>
    <row r="9" ht="15" customHeight="1" spans="1:9">
      <c r="A9" s="413" t="s">
        <v>278</v>
      </c>
      <c r="B9" s="413" t="s">
        <v>279</v>
      </c>
      <c r="C9" s="413" t="s">
        <v>280</v>
      </c>
      <c r="D9" s="364" t="s">
        <v>281</v>
      </c>
      <c r="E9" s="365" t="s">
        <v>114</v>
      </c>
      <c r="F9" s="365"/>
      <c r="G9" s="365"/>
      <c r="H9" s="333"/>
      <c r="I9" s="333"/>
    </row>
    <row r="10" spans="1:9">
      <c r="A10" s="355">
        <v>1</v>
      </c>
      <c r="B10" s="356"/>
      <c r="C10" s="356"/>
      <c r="D10" s="364"/>
      <c r="E10" s="365"/>
      <c r="F10" s="365"/>
      <c r="G10" s="365"/>
      <c r="H10" s="333"/>
      <c r="I10" s="333"/>
    </row>
    <row r="11" spans="1:9">
      <c r="A11" s="355">
        <v>2</v>
      </c>
      <c r="B11" s="356"/>
      <c r="C11" s="356"/>
      <c r="D11" s="364"/>
      <c r="E11" s="365"/>
      <c r="F11" s="365"/>
      <c r="G11" s="365"/>
      <c r="H11" s="333"/>
      <c r="I11" s="333"/>
    </row>
    <row r="12" spans="1:9">
      <c r="A12" s="355">
        <v>3</v>
      </c>
      <c r="B12" s="356"/>
      <c r="C12" s="356"/>
      <c r="D12" s="414" t="s">
        <v>282</v>
      </c>
      <c r="E12" s="415"/>
      <c r="F12" s="415"/>
      <c r="G12" s="415"/>
      <c r="H12" s="333"/>
      <c r="I12" s="333"/>
    </row>
    <row r="13" spans="1:9">
      <c r="A13" s="355">
        <v>4</v>
      </c>
      <c r="B13" s="356"/>
      <c r="C13" s="356"/>
      <c r="D13" s="416"/>
      <c r="E13" s="417"/>
      <c r="F13" s="417"/>
      <c r="G13" s="417"/>
      <c r="H13" s="333"/>
      <c r="I13" s="333"/>
    </row>
    <row r="14" spans="1:9">
      <c r="A14" s="355">
        <v>5</v>
      </c>
      <c r="B14" s="356"/>
      <c r="C14" s="356"/>
      <c r="D14" s="416"/>
      <c r="E14" s="417"/>
      <c r="F14" s="417"/>
      <c r="G14" s="417"/>
      <c r="H14" s="333"/>
      <c r="I14" s="333"/>
    </row>
    <row r="15" spans="1:9">
      <c r="A15" s="355">
        <v>6</v>
      </c>
      <c r="B15" s="356"/>
      <c r="C15" s="356"/>
      <c r="D15" s="333"/>
      <c r="E15" s="333"/>
      <c r="F15" s="333"/>
      <c r="G15" s="333"/>
      <c r="H15" s="333"/>
      <c r="I15" s="333"/>
    </row>
    <row r="16" spans="1:9">
      <c r="A16" s="355">
        <v>7</v>
      </c>
      <c r="B16" s="356"/>
      <c r="C16" s="356"/>
      <c r="D16" s="333"/>
      <c r="E16" s="333"/>
      <c r="F16" s="333"/>
      <c r="G16" s="333"/>
      <c r="H16" s="333"/>
      <c r="I16" s="333"/>
    </row>
    <row r="17" spans="1:9">
      <c r="A17" s="355">
        <v>8</v>
      </c>
      <c r="B17" s="356"/>
      <c r="C17" s="356"/>
      <c r="D17" s="333"/>
      <c r="E17" s="333"/>
      <c r="F17" s="333"/>
      <c r="G17" s="333"/>
      <c r="H17" s="333"/>
      <c r="I17" s="333"/>
    </row>
    <row r="18" spans="1:9">
      <c r="A18" s="355">
        <v>9</v>
      </c>
      <c r="B18" s="356"/>
      <c r="C18" s="356"/>
      <c r="D18" s="333"/>
      <c r="E18" s="333"/>
      <c r="F18" s="333"/>
      <c r="G18" s="333"/>
      <c r="H18" s="333"/>
      <c r="I18" s="333"/>
    </row>
    <row r="19" spans="1:9">
      <c r="A19" s="355">
        <v>10</v>
      </c>
      <c r="B19" s="356"/>
      <c r="C19" s="356"/>
      <c r="D19" s="333"/>
      <c r="E19" s="333"/>
      <c r="F19" s="333"/>
      <c r="G19" s="333"/>
      <c r="H19" s="333"/>
      <c r="I19" s="333"/>
    </row>
    <row r="20" spans="1:9">
      <c r="A20" s="355">
        <v>11</v>
      </c>
      <c r="B20" s="356"/>
      <c r="C20" s="356"/>
      <c r="D20" s="333"/>
      <c r="E20" s="333"/>
      <c r="F20" s="333"/>
      <c r="G20" s="333"/>
      <c r="H20" s="333"/>
      <c r="I20" s="333"/>
    </row>
    <row r="21" spans="1:9">
      <c r="A21" s="355">
        <v>12</v>
      </c>
      <c r="B21" s="356"/>
      <c r="C21" s="356"/>
      <c r="D21" s="333"/>
      <c r="E21" s="333"/>
      <c r="F21" s="333"/>
      <c r="G21" s="333"/>
      <c r="H21" s="333"/>
      <c r="I21" s="333"/>
    </row>
    <row r="22" spans="1:9">
      <c r="A22" s="355">
        <v>13</v>
      </c>
      <c r="B22" s="356"/>
      <c r="C22" s="356"/>
      <c r="D22" s="333"/>
      <c r="E22" s="333"/>
      <c r="F22" s="333"/>
      <c r="G22" s="333"/>
      <c r="H22" s="333"/>
      <c r="I22" s="333"/>
    </row>
    <row r="23" spans="1:9">
      <c r="A23" s="355">
        <v>14</v>
      </c>
      <c r="B23" s="356"/>
      <c r="C23" s="356"/>
      <c r="D23" s="333"/>
      <c r="E23" s="333"/>
      <c r="F23" s="333"/>
      <c r="G23" s="333"/>
      <c r="H23" s="333"/>
      <c r="I23" s="333"/>
    </row>
    <row r="24" spans="1:9">
      <c r="A24" s="355">
        <v>15</v>
      </c>
      <c r="B24" s="356"/>
      <c r="C24" s="356"/>
      <c r="D24" s="333"/>
      <c r="E24" s="333"/>
      <c r="F24" s="333"/>
      <c r="G24" s="333"/>
      <c r="H24" s="333"/>
      <c r="I24" s="333"/>
    </row>
    <row r="25" spans="1:9">
      <c r="A25" s="355">
        <v>16</v>
      </c>
      <c r="B25" s="356"/>
      <c r="C25" s="356"/>
      <c r="D25" s="333"/>
      <c r="E25" s="333"/>
      <c r="F25" s="333"/>
      <c r="G25" s="333"/>
      <c r="H25" s="333"/>
      <c r="I25" s="333"/>
    </row>
    <row r="26" spans="1:9">
      <c r="A26" s="355">
        <v>17</v>
      </c>
      <c r="B26" s="356"/>
      <c r="C26" s="356"/>
      <c r="D26" s="333"/>
      <c r="E26" s="333"/>
      <c r="F26" s="333"/>
      <c r="G26" s="333"/>
      <c r="H26" s="333"/>
      <c r="I26" s="333"/>
    </row>
    <row r="27" spans="1:9">
      <c r="A27" s="355">
        <v>18</v>
      </c>
      <c r="B27" s="356"/>
      <c r="C27" s="356"/>
      <c r="D27" s="333"/>
      <c r="E27" s="333"/>
      <c r="F27" s="333"/>
      <c r="G27" s="333"/>
      <c r="H27" s="333"/>
      <c r="I27" s="333"/>
    </row>
    <row r="28" spans="1:9">
      <c r="A28" s="355">
        <v>19</v>
      </c>
      <c r="B28" s="356"/>
      <c r="C28" s="356"/>
      <c r="D28" s="333"/>
      <c r="E28" s="333"/>
      <c r="F28" s="333"/>
      <c r="G28" s="333"/>
      <c r="H28" s="333"/>
      <c r="I28" s="333"/>
    </row>
    <row r="29" spans="1:9">
      <c r="A29" s="355">
        <v>20</v>
      </c>
      <c r="B29" s="356"/>
      <c r="C29" s="356"/>
      <c r="D29" s="333"/>
      <c r="E29" s="333"/>
      <c r="F29" s="333"/>
      <c r="G29" s="333"/>
      <c r="H29" s="333"/>
      <c r="I29" s="333"/>
    </row>
    <row r="30" spans="1:9">
      <c r="A30" s="355">
        <v>21</v>
      </c>
      <c r="B30" s="356"/>
      <c r="C30" s="356"/>
      <c r="D30" s="333"/>
      <c r="E30" s="333"/>
      <c r="F30" s="333"/>
      <c r="G30" s="333"/>
      <c r="H30" s="333"/>
      <c r="I30" s="333"/>
    </row>
    <row r="31" spans="1:9">
      <c r="A31" s="355">
        <v>22</v>
      </c>
      <c r="B31" s="356"/>
      <c r="C31" s="356"/>
      <c r="D31" s="333"/>
      <c r="E31" s="333"/>
      <c r="F31" s="333"/>
      <c r="G31" s="333"/>
      <c r="H31" s="333"/>
      <c r="I31" s="333"/>
    </row>
    <row r="32" spans="1:9">
      <c r="A32" s="355">
        <v>23</v>
      </c>
      <c r="B32" s="356"/>
      <c r="C32" s="356"/>
      <c r="D32" s="333"/>
      <c r="E32" s="333"/>
      <c r="F32" s="333"/>
      <c r="G32" s="333"/>
      <c r="H32" s="333"/>
      <c r="I32" s="333"/>
    </row>
    <row r="33" spans="1:9">
      <c r="A33" s="355">
        <v>24</v>
      </c>
      <c r="B33" s="356"/>
      <c r="C33" s="356"/>
      <c r="D33" s="333"/>
      <c r="E33" s="333"/>
      <c r="F33" s="333"/>
      <c r="G33" s="333"/>
      <c r="H33" s="333"/>
      <c r="I33" s="333"/>
    </row>
    <row r="34" spans="1:9">
      <c r="A34" s="355">
        <v>25</v>
      </c>
      <c r="B34" s="356"/>
      <c r="C34" s="356"/>
      <c r="D34" s="333"/>
      <c r="E34" s="333"/>
      <c r="F34" s="333"/>
      <c r="G34" s="333"/>
      <c r="H34" s="333"/>
      <c r="I34" s="333"/>
    </row>
    <row r="35" spans="1:9">
      <c r="A35" s="355">
        <v>26</v>
      </c>
      <c r="B35" s="356"/>
      <c r="C35" s="356"/>
      <c r="D35" s="333"/>
      <c r="E35" s="333"/>
      <c r="F35" s="333"/>
      <c r="G35" s="333"/>
      <c r="H35" s="333"/>
      <c r="I35" s="333"/>
    </row>
    <row r="36" spans="1:9">
      <c r="A36" s="355">
        <v>27</v>
      </c>
      <c r="B36" s="356"/>
      <c r="C36" s="356"/>
      <c r="D36" s="333"/>
      <c r="E36" s="333"/>
      <c r="F36" s="333"/>
      <c r="G36" s="333"/>
      <c r="H36" s="333"/>
      <c r="I36" s="333"/>
    </row>
    <row r="37" spans="1:9">
      <c r="A37" s="355">
        <v>28</v>
      </c>
      <c r="B37" s="356"/>
      <c r="C37" s="356"/>
      <c r="D37" s="333"/>
      <c r="E37" s="333"/>
      <c r="F37" s="333"/>
      <c r="G37" s="333"/>
      <c r="H37" s="333"/>
      <c r="I37" s="333"/>
    </row>
    <row r="38" spans="1:9">
      <c r="A38" s="355">
        <v>29</v>
      </c>
      <c r="B38" s="356"/>
      <c r="C38" s="356"/>
      <c r="D38" s="333"/>
      <c r="E38" s="333"/>
      <c r="F38" s="333"/>
      <c r="G38" s="333"/>
      <c r="H38" s="333"/>
      <c r="I38" s="333"/>
    </row>
    <row r="39" spans="1:9">
      <c r="A39" s="355">
        <v>30</v>
      </c>
      <c r="B39" s="356"/>
      <c r="C39" s="356"/>
      <c r="D39" s="333"/>
      <c r="E39" s="333"/>
      <c r="F39" s="333"/>
      <c r="G39" s="333"/>
      <c r="H39" s="333"/>
      <c r="I39" s="333"/>
    </row>
    <row r="40" spans="1:9">
      <c r="A40" s="355">
        <v>31</v>
      </c>
      <c r="B40" s="356"/>
      <c r="C40" s="356"/>
      <c r="D40" s="333"/>
      <c r="E40" s="333"/>
      <c r="F40" s="333"/>
      <c r="G40" s="333"/>
      <c r="H40" s="333"/>
      <c r="I40" s="333"/>
    </row>
    <row r="41" spans="1:9">
      <c r="A41" s="355">
        <v>32</v>
      </c>
      <c r="B41" s="356"/>
      <c r="C41" s="356"/>
      <c r="D41" s="333"/>
      <c r="E41" s="333"/>
      <c r="F41" s="333"/>
      <c r="G41" s="333"/>
      <c r="H41" s="333"/>
      <c r="I41" s="333"/>
    </row>
    <row r="42" spans="1:9">
      <c r="A42" s="355">
        <v>33</v>
      </c>
      <c r="B42" s="356"/>
      <c r="C42" s="356"/>
      <c r="D42" s="333"/>
      <c r="E42" s="333"/>
      <c r="F42" s="333"/>
      <c r="G42" s="333"/>
      <c r="H42" s="333"/>
      <c r="I42" s="333"/>
    </row>
    <row r="43" spans="1:9">
      <c r="A43" s="355">
        <v>34</v>
      </c>
      <c r="B43" s="356"/>
      <c r="C43" s="356"/>
      <c r="D43" s="333"/>
      <c r="E43" s="333"/>
      <c r="F43" s="333"/>
      <c r="G43" s="333"/>
      <c r="H43" s="333"/>
      <c r="I43" s="333"/>
    </row>
    <row r="44" spans="1:9">
      <c r="A44" s="355">
        <v>35</v>
      </c>
      <c r="B44" s="356"/>
      <c r="C44" s="356"/>
      <c r="D44" s="333"/>
      <c r="E44" s="333"/>
      <c r="F44" s="333"/>
      <c r="G44" s="333"/>
      <c r="H44" s="333"/>
      <c r="I44" s="333"/>
    </row>
    <row r="45" spans="1:9">
      <c r="A45" s="355">
        <v>36</v>
      </c>
      <c r="B45" s="356"/>
      <c r="C45" s="356"/>
      <c r="D45" s="333"/>
      <c r="E45" s="333"/>
      <c r="F45" s="333"/>
      <c r="G45" s="333"/>
      <c r="H45" s="333"/>
      <c r="I45" s="333"/>
    </row>
    <row r="46" spans="1:9">
      <c r="A46" s="355">
        <v>37</v>
      </c>
      <c r="B46" s="356"/>
      <c r="C46" s="356"/>
      <c r="D46" s="333"/>
      <c r="E46" s="333"/>
      <c r="F46" s="333"/>
      <c r="G46" s="333"/>
      <c r="H46" s="333"/>
      <c r="I46" s="333"/>
    </row>
    <row r="47" spans="1:9">
      <c r="A47" s="355">
        <v>38</v>
      </c>
      <c r="B47" s="356"/>
      <c r="C47" s="356"/>
      <c r="D47" s="333"/>
      <c r="E47" s="333"/>
      <c r="F47" s="333"/>
      <c r="G47" s="333"/>
      <c r="H47" s="333"/>
      <c r="I47" s="333"/>
    </row>
    <row r="48" spans="1:9">
      <c r="A48" s="355">
        <v>39</v>
      </c>
      <c r="B48" s="356"/>
      <c r="C48" s="356"/>
      <c r="D48" s="333"/>
      <c r="E48" s="333"/>
      <c r="F48" s="333"/>
      <c r="G48" s="333"/>
      <c r="H48" s="333"/>
      <c r="I48" s="333"/>
    </row>
    <row r="49" spans="1:9">
      <c r="A49" s="355">
        <v>40</v>
      </c>
      <c r="B49" s="356"/>
      <c r="C49" s="356"/>
      <c r="D49" s="333"/>
      <c r="E49" s="333"/>
      <c r="F49" s="333"/>
      <c r="G49" s="333"/>
      <c r="H49" s="333"/>
      <c r="I49" s="333"/>
    </row>
    <row r="50" spans="1:9">
      <c r="A50" s="355">
        <v>41</v>
      </c>
      <c r="B50" s="356"/>
      <c r="C50" s="356"/>
      <c r="D50" s="333"/>
      <c r="E50" s="333"/>
      <c r="F50" s="333"/>
      <c r="G50" s="333"/>
      <c r="H50" s="333"/>
      <c r="I50" s="333"/>
    </row>
    <row r="51" spans="1:9">
      <c r="A51" s="355">
        <v>42</v>
      </c>
      <c r="B51" s="356"/>
      <c r="C51" s="356"/>
      <c r="D51" s="333"/>
      <c r="E51" s="333"/>
      <c r="F51" s="333"/>
      <c r="G51" s="333"/>
      <c r="H51" s="333"/>
      <c r="I51" s="333"/>
    </row>
    <row r="52" spans="1:9">
      <c r="A52" s="355">
        <v>43</v>
      </c>
      <c r="B52" s="356"/>
      <c r="C52" s="356"/>
      <c r="D52" s="333"/>
      <c r="E52" s="333"/>
      <c r="F52" s="333"/>
      <c r="G52" s="333"/>
      <c r="H52" s="333"/>
      <c r="I52" s="333"/>
    </row>
    <row r="53" spans="1:9">
      <c r="A53" s="355">
        <v>44</v>
      </c>
      <c r="B53" s="356"/>
      <c r="C53" s="356"/>
      <c r="D53" s="333"/>
      <c r="E53" s="333"/>
      <c r="F53" s="333"/>
      <c r="G53" s="333"/>
      <c r="H53" s="333"/>
      <c r="I53" s="333"/>
    </row>
    <row r="54" spans="1:9">
      <c r="A54" s="355">
        <v>45</v>
      </c>
      <c r="B54" s="356"/>
      <c r="C54" s="356"/>
      <c r="D54" s="333"/>
      <c r="E54" s="333"/>
      <c r="F54" s="333"/>
      <c r="G54" s="333"/>
      <c r="H54" s="333"/>
      <c r="I54" s="333"/>
    </row>
    <row r="55" spans="1:9">
      <c r="A55" s="355">
        <v>46</v>
      </c>
      <c r="B55" s="356"/>
      <c r="C55" s="356"/>
      <c r="D55" s="333"/>
      <c r="E55" s="333"/>
      <c r="F55" s="333"/>
      <c r="G55" s="333"/>
      <c r="H55" s="333"/>
      <c r="I55" s="333"/>
    </row>
    <row r="56" spans="1:9">
      <c r="A56" s="355">
        <v>47</v>
      </c>
      <c r="B56" s="356"/>
      <c r="C56" s="356"/>
      <c r="D56" s="333"/>
      <c r="E56" s="333"/>
      <c r="F56" s="333"/>
      <c r="G56" s="333"/>
      <c r="H56" s="333"/>
      <c r="I56" s="333"/>
    </row>
    <row r="57" spans="1:9">
      <c r="A57" s="355">
        <v>48</v>
      </c>
      <c r="B57" s="356"/>
      <c r="C57" s="356"/>
      <c r="D57" s="333"/>
      <c r="E57" s="333"/>
      <c r="F57" s="333"/>
      <c r="G57" s="333"/>
      <c r="H57" s="333"/>
      <c r="I57" s="333"/>
    </row>
    <row r="58" spans="1:9">
      <c r="A58" s="355">
        <v>49</v>
      </c>
      <c r="B58" s="356"/>
      <c r="C58" s="356"/>
      <c r="D58" s="333"/>
      <c r="E58" s="333"/>
      <c r="F58" s="333"/>
      <c r="G58" s="333"/>
      <c r="H58" s="333"/>
      <c r="I58" s="333"/>
    </row>
    <row r="59" spans="1:9">
      <c r="A59" s="355">
        <v>50</v>
      </c>
      <c r="B59" s="356"/>
      <c r="C59" s="356"/>
      <c r="D59" s="333"/>
      <c r="E59" s="333"/>
      <c r="F59" s="333"/>
      <c r="G59" s="333"/>
      <c r="H59" s="333"/>
      <c r="I59" s="333"/>
    </row>
    <row r="60" ht="28.5" spans="1:9">
      <c r="A60" s="418" t="s">
        <v>283</v>
      </c>
      <c r="B60" s="419">
        <f>IF(OR(B7="Пожалуйста, выберите…",B7="нет"),0,IFERROR(SUMPRODUCT(B10:B59,C10:C59)*0.007854/'1.Общие данные по зданию'!C15,0))</f>
        <v>0</v>
      </c>
      <c r="C60" s="340" t="s">
        <v>139</v>
      </c>
      <c r="D60" s="333"/>
      <c r="E60" s="333"/>
      <c r="F60" s="333"/>
      <c r="G60" s="333"/>
      <c r="H60" s="333"/>
      <c r="I60" s="333"/>
    </row>
    <row r="67" spans="1:9">
      <c r="A67" s="333"/>
      <c r="B67" s="407">
        <f>IF(OR(AND(B7="да",SUM(B10:B59)&gt;0,SUM(C10:C59)&gt;0),AND(B7="нет")),1,0)</f>
        <v>1</v>
      </c>
      <c r="C67" s="333"/>
      <c r="D67" s="333"/>
      <c r="E67" s="333"/>
      <c r="F67" s="333"/>
      <c r="G67" s="333"/>
      <c r="H67" s="333"/>
      <c r="I67" s="333"/>
    </row>
    <row r="68" spans="1:9">
      <c r="A68" s="350" t="s">
        <v>164</v>
      </c>
      <c r="B68" s="351" t="str">
        <f>IF(OR(B4="нет",AND(B4&lt;&gt;"Укажите наличие…",B7&lt;&gt;"пожалуйста, выберите…",B5&gt;0,B67=1)),"Готово","Заполните данные")</f>
        <v>Готово</v>
      </c>
      <c r="C68" s="333"/>
      <c r="D68" s="333"/>
      <c r="E68" s="333"/>
      <c r="F68" s="333"/>
      <c r="G68" s="333"/>
      <c r="H68" s="333"/>
      <c r="I68" s="333"/>
    </row>
    <row r="69" spans="1:9">
      <c r="A69" s="333"/>
      <c r="B69" s="333"/>
      <c r="C69" s="333"/>
      <c r="D69" s="333"/>
      <c r="E69" s="333"/>
      <c r="F69" s="333"/>
      <c r="G69" s="333"/>
      <c r="H69" s="333"/>
      <c r="I69" s="333"/>
    </row>
  </sheetData>
  <sheetProtection algorithmName="SHA-512" hashValue="QSv6Zh7+SuSCbIhIXiQMLbwm2GFhtK/Xgwi0F8/t2F3nLS/LN8CzONwPBYcpQIi+FTA//JpgOB98BZekyArYhQ==" saltValue="DFseuVpgcEYEcx+LNb1/hw==" spinCount="100000" sheet="1" objects="1" scenarios="1"/>
  <mergeCells count="7">
    <mergeCell ref="E3:G3"/>
    <mergeCell ref="E4:G4"/>
    <mergeCell ref="E5:G5"/>
    <mergeCell ref="E7:G7"/>
    <mergeCell ref="D9:D11"/>
    <mergeCell ref="D12:G14"/>
    <mergeCell ref="E9:G11"/>
  </mergeCells>
  <conditionalFormatting sqref="B4">
    <cfRule type="containsText" dxfId="4" priority="1" operator="between" text="Укажите наличие…">
      <formula>NOT(ISERROR(SEARCH("Укажите наличие…",B4)))</formula>
    </cfRule>
    <cfRule type="cellIs" dxfId="3" priority="13" operator="equal">
      <formula>"Пожалуйста, выберите…"</formula>
    </cfRule>
    <cfRule type="cellIs" dxfId="3" priority="12" operator="equal">
      <formula>"Пожалуйста, выберите…"</formula>
    </cfRule>
    <cfRule type="expression" dxfId="6" priority="11">
      <formula>'3.УР горячей воды'!$B$6="нет"</formula>
    </cfRule>
  </conditionalFormatting>
  <conditionalFormatting sqref="B7">
    <cfRule type="cellIs" dxfId="3" priority="9" operator="equal">
      <formula>"Пожалуйста, выберите…"</formula>
    </cfRule>
  </conditionalFormatting>
  <conditionalFormatting sqref="B68">
    <cfRule type="containsText" dxfId="1" priority="3" operator="between" text="Готово">
      <formula>NOT(ISERROR(SEARCH("Готово",B68)))</formula>
    </cfRule>
    <cfRule type="containsText" dxfId="4" priority="4" operator="between" text="Заполните данные">
      <formula>NOT(ISERROR(SEARCH("Заполните данные",B68)))</formula>
    </cfRule>
  </conditionalFormatting>
  <conditionalFormatting sqref="B5:B7">
    <cfRule type="expression" dxfId="6" priority="2">
      <formula>$B$4="Пожалуйста, выберите…"</formula>
    </cfRule>
    <cfRule type="expression" dxfId="6" priority="7">
      <formula>$B$4="нет"</formula>
    </cfRule>
  </conditionalFormatting>
  <conditionalFormatting sqref="A10:C59">
    <cfRule type="expression" dxfId="6" priority="5">
      <formula>$B$7="Пожалуйста, выберите…"</formula>
    </cfRule>
    <cfRule type="expression" dxfId="6" priority="6">
      <formula>$B$7="нет"</formula>
    </cfRule>
  </conditionalFormatting>
  <dataValidations count="5">
    <dataValidation type="list" allowBlank="1" showInputMessage="1" showErrorMessage="1" sqref="B4">
      <formula1>PUdanet</formula1>
    </dataValidation>
    <dataValidation type="decimal" operator="between" allowBlank="1" showInputMessage="1" showErrorMessage="1" sqref="B5">
      <formula1>0</formula1>
      <formula2>100000000</formula2>
    </dataValidation>
    <dataValidation type="list" allowBlank="1" showInputMessage="1" showErrorMessage="1" sqref="B7">
      <formula1>danet</formula1>
    </dataValidation>
    <dataValidation type="decimal" operator="between" allowBlank="1" showInputMessage="1" showErrorMessage="1" sqref="B10:B59">
      <formula1>0</formula1>
      <formula2>2000</formula2>
    </dataValidation>
    <dataValidation type="decimal" operator="between" allowBlank="1" showInputMessage="1" showErrorMessage="1" sqref="C10:C59">
      <formula1>0</formula1>
      <formula2>365</formula2>
    </dataValidation>
  </dataValidations>
  <hyperlinks>
    <hyperlink ref="C1" location="'0.Результаты расчета'!A1" display="Перейти к результатам расчета потенциала и ЦУС"/>
  </hyperlink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Лист31"/>
  <dimension ref="A1:Z12"/>
  <sheetViews>
    <sheetView workbookViewId="0">
      <selection activeCell="B11" sqref="B11"/>
    </sheetView>
  </sheetViews>
  <sheetFormatPr defaultColWidth="0" defaultRowHeight="14.25" zeroHeight="1"/>
  <cols>
    <col min="1" max="1" width="39.7238095238095" style="329" customWidth="1"/>
    <col min="2" max="2" width="23.4571428571429" style="329" customWidth="1"/>
    <col min="3" max="3" width="50.4571428571429" style="329" customWidth="1"/>
    <col min="4" max="4" width="16" style="329" customWidth="1"/>
    <col min="5" max="5" width="10.4571428571429" style="329" customWidth="1"/>
    <col min="6" max="6" width="10.2666666666667" style="329" customWidth="1"/>
    <col min="7" max="7" width="11.7238095238095" style="329" customWidth="1"/>
    <col min="8" max="9" width="9.18095238095238" style="329" customWidth="1"/>
    <col min="10" max="26" width="0" style="329" hidden="1" customWidth="1"/>
    <col min="27" max="16384" width="9.18095238095238" style="329" hidden="1"/>
  </cols>
  <sheetData>
    <row r="1" s="327" customFormat="1" ht="28.9" customHeight="1" spans="1:26">
      <c r="A1" s="330" t="s">
        <v>284</v>
      </c>
      <c r="B1" s="331"/>
      <c r="C1" s="326"/>
      <c r="D1" s="332" t="s">
        <v>102</v>
      </c>
      <c r="E1" s="331"/>
      <c r="F1" s="331"/>
      <c r="G1" s="331"/>
      <c r="H1" s="331"/>
      <c r="I1" s="331"/>
      <c r="J1" s="396"/>
      <c r="K1" s="396"/>
      <c r="L1" s="396"/>
      <c r="M1" s="396"/>
      <c r="N1" s="396"/>
      <c r="O1" s="396"/>
      <c r="P1" s="396"/>
      <c r="Q1" s="396"/>
      <c r="R1" s="396"/>
      <c r="S1" s="396"/>
      <c r="T1" s="396"/>
      <c r="U1" s="396"/>
      <c r="V1" s="396"/>
      <c r="W1" s="396"/>
      <c r="X1" s="396"/>
      <c r="Y1" s="396"/>
      <c r="Z1" s="396"/>
    </row>
    <row r="2" s="327" customFormat="1" ht="22.9" customHeight="1" spans="1:9">
      <c r="A2" s="333"/>
      <c r="B2" s="333"/>
      <c r="C2" s="334" t="s">
        <v>103</v>
      </c>
      <c r="D2" s="333"/>
      <c r="E2" s="333"/>
      <c r="F2" s="333"/>
      <c r="G2" s="333"/>
      <c r="H2" s="333"/>
      <c r="I2" s="333"/>
    </row>
    <row r="3" s="327" customFormat="1" ht="42.75" spans="1:9">
      <c r="A3" s="335" t="s">
        <v>104</v>
      </c>
      <c r="B3" s="336" t="s">
        <v>105</v>
      </c>
      <c r="C3" s="335" t="s">
        <v>106</v>
      </c>
      <c r="D3" s="337" t="s">
        <v>107</v>
      </c>
      <c r="E3" s="335" t="s">
        <v>108</v>
      </c>
      <c r="F3" s="335"/>
      <c r="G3" s="335"/>
      <c r="H3" s="333"/>
      <c r="I3" s="333"/>
    </row>
    <row r="4" s="327" customFormat="1" ht="46.5" customHeight="1" spans="1:9">
      <c r="A4" s="338" t="s">
        <v>285</v>
      </c>
      <c r="B4" s="339" t="s">
        <v>133</v>
      </c>
      <c r="C4" s="340"/>
      <c r="D4" s="341" t="s">
        <v>286</v>
      </c>
      <c r="E4" s="342" t="s">
        <v>114</v>
      </c>
      <c r="F4" s="342"/>
      <c r="G4" s="342"/>
      <c r="H4" s="333"/>
      <c r="I4" s="333"/>
    </row>
    <row r="5" s="327" customFormat="1" ht="214.9" customHeight="1" spans="1:9">
      <c r="A5" s="338" t="s">
        <v>287</v>
      </c>
      <c r="B5" s="339" t="s">
        <v>133</v>
      </c>
      <c r="C5" s="340" t="str">
        <f>CONCATENATE("В случае, если на группе отдельно стоящих объектов учет энергетических ресурсов и воды осуществляется по показаниям общего для данной группы объектов прибора коммерческого учета, вместе с тем на указанных отдельно стоящих объектах ","установлены приборы технического учета энергетических ресурсов и воды, при расчетах  могут применяться показания данных приборов технического учета.",CHAR(10),CHAR(10),"Для поставленных ресурсов, расчет по которым осуществляется не на основании показаний приборов коммерческого учета, например, по нормативам, с использованием расчетных способов"," и т.д, а также для безвозмездно поставленных ресурсов требования по снижению потребления не устанавливаются.")</f>
        <v>В случае, если на группе отдельно стоящих объектов учет энергетических ресурсов и воды осуществляется по показаниям общего для данной группы объектов прибора коммерческого учета, вместе с тем на указанных отдельно стоящих объектах установлены приборы технического учета энергетических ресурсов и воды, при расчетах  могут применяться показания данных приборов технического учета.
Для поставленных ресурсов, расчет по которым осуществляется не на основании показаний приборов коммерческого учета, например, по нормативам, с использованием расчетных способов и т.д, а также для безвозмездно поставленных ресурсов требования по снижению потребления не устанавливаются.</v>
      </c>
      <c r="D5" s="398" t="s">
        <v>288</v>
      </c>
      <c r="E5" s="342" t="s">
        <v>114</v>
      </c>
      <c r="F5" s="342"/>
      <c r="G5" s="342"/>
      <c r="H5" s="333"/>
      <c r="I5" s="333"/>
    </row>
    <row r="6" s="327" customFormat="1" ht="54" customHeight="1" spans="1:9">
      <c r="A6" s="338" t="s">
        <v>289</v>
      </c>
      <c r="B6" s="339" t="s">
        <v>133</v>
      </c>
      <c r="C6" s="340"/>
      <c r="D6" s="341" t="s">
        <v>290</v>
      </c>
      <c r="E6" s="342" t="s">
        <v>114</v>
      </c>
      <c r="F6" s="342"/>
      <c r="G6" s="342"/>
      <c r="H6" s="333"/>
      <c r="I6" s="333"/>
    </row>
    <row r="7" ht="46.5" customHeight="1" spans="1:9">
      <c r="A7" s="399" t="s">
        <v>291</v>
      </c>
      <c r="B7" s="362"/>
      <c r="C7" s="340" t="s">
        <v>292</v>
      </c>
      <c r="D7" s="364" t="s">
        <v>248</v>
      </c>
      <c r="E7" s="365" t="s">
        <v>114</v>
      </c>
      <c r="F7" s="365"/>
      <c r="G7" s="365"/>
      <c r="H7" s="333"/>
      <c r="I7" s="333"/>
    </row>
    <row r="8" s="327" customFormat="1" ht="54" customHeight="1" spans="1:9">
      <c r="A8" s="338" t="s">
        <v>293</v>
      </c>
      <c r="B8" s="339" t="s">
        <v>133</v>
      </c>
      <c r="C8" s="400" t="str">
        <f>IF(AND(B6="нет",B8="да"),"Выше выбрано отсутствие на объекте газовых котлов, вырабатывающих теплоэнергию на нужды отопления и вентиляции","")</f>
        <v/>
      </c>
      <c r="D8" s="341" t="s">
        <v>133</v>
      </c>
      <c r="E8" s="401" t="s">
        <v>124</v>
      </c>
      <c r="F8" s="401"/>
      <c r="G8" s="401"/>
      <c r="H8" s="333"/>
      <c r="I8" s="333"/>
    </row>
    <row r="9" s="327" customFormat="1" ht="10.5" hidden="1" customHeight="1" spans="1:9">
      <c r="A9" s="402"/>
      <c r="B9" s="403">
        <f>IF(AND(B6="да",B8="да"),B7/'1.Общие данные по зданию'!C15-VLOOKUP('1.Общие данные по зданию'!C6,'Экспресс потенциал'!B6:AH27,33,0),B7/'1.Общие данные по зданию'!C15)</f>
        <v>0</v>
      </c>
      <c r="C9" s="404"/>
      <c r="D9" s="405"/>
      <c r="E9" s="406"/>
      <c r="F9" s="406"/>
      <c r="G9" s="406"/>
      <c r="H9" s="333"/>
      <c r="I9" s="333"/>
    </row>
    <row r="10" s="327" customFormat="1" spans="1:9">
      <c r="A10" s="333"/>
      <c r="B10" s="407"/>
      <c r="C10" s="333"/>
      <c r="D10" s="333"/>
      <c r="E10" s="333"/>
      <c r="F10" s="333"/>
      <c r="G10" s="333"/>
      <c r="H10" s="333"/>
      <c r="I10" s="333"/>
    </row>
    <row r="11" spans="1:9">
      <c r="A11" s="350" t="s">
        <v>164</v>
      </c>
      <c r="B11" s="351" t="str">
        <f>IF(OR(B4="нет",B5="нет",AND(B4&lt;&gt;"пожалуйста, выберите…",B5&lt;&gt;"Укажите наличие…",B7&gt;0,B8&lt;&gt;"Пожалуйста, выберите…",B6&lt;&gt;"Пожалуйста, выберите…")),"Готово","Заполните данные")</f>
        <v>Готово</v>
      </c>
      <c r="C11" s="333"/>
      <c r="D11" s="333"/>
      <c r="E11" s="333"/>
      <c r="F11" s="333"/>
      <c r="G11" s="333"/>
      <c r="H11" s="333"/>
      <c r="I11" s="333"/>
    </row>
    <row r="12" spans="1:9">
      <c r="A12" s="333"/>
      <c r="B12" s="333"/>
      <c r="C12" s="333"/>
      <c r="D12" s="333"/>
      <c r="E12" s="333"/>
      <c r="F12" s="333"/>
      <c r="G12" s="333"/>
      <c r="H12" s="333"/>
      <c r="I12" s="333"/>
    </row>
  </sheetData>
  <sheetProtection algorithmName="SHA-512" hashValue="ewc5GnW0esthMCWf9S/GPVBnSYoeDR7c50DCPVy5lHGTY9teKvJvvrcXZq8+yFksRyWgZRNzjSub4hgwj/bZ0A==" saltValue="xH8vPvMUDNGT5y85S6a6Ag==" spinCount="100000" sheet="1" objects="1" scenarios="1"/>
  <mergeCells count="6">
    <mergeCell ref="E3:G3"/>
    <mergeCell ref="E4:G4"/>
    <mergeCell ref="E5:G5"/>
    <mergeCell ref="E6:G6"/>
    <mergeCell ref="E7:G7"/>
    <mergeCell ref="E8:G8"/>
  </mergeCells>
  <conditionalFormatting sqref="B4">
    <cfRule type="cellIs" dxfId="3" priority="13" operator="equal">
      <formula>"Пожалуйста, выберите…"</formula>
    </cfRule>
  </conditionalFormatting>
  <conditionalFormatting sqref="B5">
    <cfRule type="containsText" dxfId="4" priority="7" operator="between" text="Укажите наличие…">
      <formula>NOT(ISERROR(SEARCH("Укажите наличие…",B5)))</formula>
    </cfRule>
    <cfRule type="cellIs" dxfId="3" priority="12" operator="equal">
      <formula>"Пожалуйста, выберите…"</formula>
    </cfRule>
  </conditionalFormatting>
  <conditionalFormatting sqref="B6">
    <cfRule type="cellIs" dxfId="3" priority="9" operator="equal">
      <formula>"Пожалуйста, выберите…"</formula>
    </cfRule>
    <cfRule type="expression" dxfId="6" priority="3">
      <formula>$B$4="нет"</formula>
    </cfRule>
  </conditionalFormatting>
  <conditionalFormatting sqref="B7">
    <cfRule type="expression" dxfId="6" priority="4">
      <formula>$B$4="Пожалуйста, выберите…"</formula>
    </cfRule>
    <cfRule type="expression" dxfId="6" priority="6">
      <formula>$B$5="нет"</formula>
    </cfRule>
  </conditionalFormatting>
  <conditionalFormatting sqref="B8">
    <cfRule type="expression" dxfId="6" priority="1">
      <formula>$B$4="Пожалуйста, выберите…"</formula>
    </cfRule>
  </conditionalFormatting>
  <conditionalFormatting sqref="B11">
    <cfRule type="containsText" dxfId="1" priority="10" operator="between" text="Готово">
      <formula>NOT(ISERROR(SEARCH("Готово",B11)))</formula>
    </cfRule>
    <cfRule type="containsText" dxfId="4" priority="11" operator="between" text="Заполните данные">
      <formula>NOT(ISERROR(SEARCH("Заполните данные",B11)))</formula>
    </cfRule>
  </conditionalFormatting>
  <conditionalFormatting sqref="B5:B7">
    <cfRule type="expression" dxfId="6" priority="5">
      <formula>$B$4="нет"</formula>
    </cfRule>
  </conditionalFormatting>
  <conditionalFormatting sqref="B8:B9">
    <cfRule type="cellIs" dxfId="3" priority="8" operator="equal">
      <formula>"Пожалуйста, выберите…"</formula>
    </cfRule>
    <cfRule type="expression" dxfId="6" priority="2">
      <formula>$B$4="нет"</formula>
    </cfRule>
  </conditionalFormatting>
  <dataValidations count="3">
    <dataValidation type="list" allowBlank="1" showInputMessage="1" showErrorMessage="1" sqref="B4 B6 B8">
      <formula1>danet</formula1>
    </dataValidation>
    <dataValidation type="list" allowBlank="1" showInputMessage="1" showErrorMessage="1" sqref="B5">
      <formula1>PUdanet</formula1>
    </dataValidation>
    <dataValidation type="decimal" operator="between" allowBlank="1" showInputMessage="1" showErrorMessage="1" sqref="B7">
      <formula1>0</formula1>
      <formula2>100000000</formula2>
    </dataValidation>
  </dataValidations>
  <hyperlinks>
    <hyperlink ref="D1" location="'0.Результаты расчета'!A1" display="Перейти к результатам расчета потенциала и ЦУС"/>
  </hyperlinks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42" master="" otherUserPermission="visible"/>
  <rangeList sheetStid="28" master="" otherUserPermission="visible"/>
  <rangeList sheetStid="27" master="" otherUserPermission="visible"/>
  <rangeList sheetStid="30" master="" otherUserPermission="visible"/>
  <rangeList sheetStid="34" master="" otherUserPermission="visible"/>
  <rangeList sheetStid="35" master="" otherUserPermission="visible"/>
  <rangeList sheetStid="37" master="" otherUserPermission="visible"/>
  <rangeList sheetStid="36" master="" otherUserPermission="visible"/>
  <rangeList sheetStid="38" master="" otherUserPermission="visible"/>
  <rangeList sheetStid="39" master="" otherUserPermission="visible"/>
  <rangeList sheetStid="40" master="" otherUserPermission="visible"/>
  <rangeList sheetStid="23" master="" otherUserPermission="visible"/>
  <rangeList sheetStid="24" master="" otherUserPermission="visible"/>
  <rangeList sheetStid="25" master="" otherUserPermission="visible"/>
  <rangeList sheetStid="26" master="" otherUserPermission="visible"/>
  <rangeList sheetStid="21" master="" otherUserPermission="visible"/>
  <rangeList sheetStid="22" master="" otherUserPermission="visible"/>
  <rangeList sheetStid="20" master="" otherUserPermission="visible"/>
  <rangeList sheetStid="15" master="" otherUserPermission="visible"/>
  <rangeList sheetStid="14" master="" otherUserPermission="visible"/>
  <rangeList sheetStid="13" master="" otherUserPermission="visible"/>
  <rangeList sheetStid="12" master="" otherUserPermission="visible"/>
  <rangeList sheetStid="8" master="" otherUserPermission="visible"/>
  <rangeList sheetStid="2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10" master="" otherUserPermission="visible"/>
  <rangeList sheetStid="29" master="" otherUserPermission="visible"/>
  <rangeList sheetStid="31" master="" otherUserPermission="visible"/>
  <rangeList sheetStid="32" master="" otherUserPermission="visible"/>
  <rangeList sheetStid="43" master="" otherUserPermission="visible"/>
  <rangeList sheetStid="44" master="" otherUserPermission="visible"/>
  <rangeList sheetStid="45" master="" otherUserPermission="visible"/>
  <rangeList sheetStid="46" master="" otherUserPermission="visible"/>
  <rangeList sheetStid="47" master="" otherUserPermission="visible"/>
  <rangeList sheetStid="48" master="" otherUserPermission="visible"/>
  <rangeList sheetStid="3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39</vt:i4>
      </vt:variant>
    </vt:vector>
  </HeadingPairs>
  <TitlesOfParts>
    <vt:vector size="39" baseType="lpstr">
      <vt:lpstr>0.Результаты расчета</vt:lpstr>
      <vt:lpstr>Экспресс потенциал</vt:lpstr>
      <vt:lpstr>1.Общие данные по зданию</vt:lpstr>
      <vt:lpstr>Бассейны</vt:lpstr>
      <vt:lpstr>2.УР ТЭ на нужды ОиВ</vt:lpstr>
      <vt:lpstr>3.УР горячей воды</vt:lpstr>
      <vt:lpstr>4.УР холодной воды</vt:lpstr>
      <vt:lpstr>5.УР ЭЭ</vt:lpstr>
      <vt:lpstr>6.УР природного газа на цели ПП</vt:lpstr>
      <vt:lpstr>7.УР топлива на отопл. и вент.</vt:lpstr>
      <vt:lpstr>8.УР моторного топлива</vt:lpstr>
      <vt:lpstr>ВУЗ</vt:lpstr>
      <vt:lpstr>Школа искусств</vt:lpstr>
      <vt:lpstr>Муз.школа</vt:lpstr>
      <vt:lpstr>ФАП</vt:lpstr>
      <vt:lpstr>Театры, кинотеатры</vt:lpstr>
      <vt:lpstr>Музеи</vt:lpstr>
      <vt:lpstr>ДЮСШ</vt:lpstr>
      <vt:lpstr>Больница</vt:lpstr>
      <vt:lpstr>Мед.стационар</vt:lpstr>
      <vt:lpstr>Поликлиника,амбулаторий</vt:lpstr>
      <vt:lpstr>Аптека,мол.кухня,ветаптека</vt:lpstr>
      <vt:lpstr>Клуб</vt:lpstr>
      <vt:lpstr>ДОУ</vt:lpstr>
      <vt:lpstr>Библиотеки</vt:lpstr>
      <vt:lpstr>Адм. здания</vt:lpstr>
      <vt:lpstr>НИИ и проч</vt:lpstr>
      <vt:lpstr>Центры занятости и Собесы</vt:lpstr>
      <vt:lpstr>Общеобр.У</vt:lpstr>
      <vt:lpstr>Откр.спорт.сооруж-е</vt:lpstr>
      <vt:lpstr>Крыт.спорт.сооруж-е</vt:lpstr>
      <vt:lpstr>Климатология2019</vt:lpstr>
      <vt:lpstr>Климатология2020</vt:lpstr>
      <vt:lpstr>Климатология2021</vt:lpstr>
      <vt:lpstr>Климатология2022</vt:lpstr>
      <vt:lpstr>Климатология2023</vt:lpstr>
      <vt:lpstr>Климатология2024</vt:lpstr>
      <vt:lpstr>Климатология2025</vt:lpstr>
      <vt:lpstr>списки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</dc:creator>
  <cp:lastModifiedBy>User</cp:lastModifiedBy>
  <dcterms:created xsi:type="dcterms:W3CDTF">2020-01-20T14:17:00Z</dcterms:created>
  <dcterms:modified xsi:type="dcterms:W3CDTF">2026-07-21T08:09:13Z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0F72DB0C388A4D00A705B838D6545158_12</vt:lpwstr>
  </property>
  <property fmtid="{D5CDD505-2E9C-101B-9397-08002B2CF9AE}" pid="3" name="KSOProductBuildVer">
    <vt:lpwstr>1049-12.2.0.23196</vt:lpwstr>
  </property>
</Properties>
</file>